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Stavební rozpočet" sheetId="1" r:id="rId1"/>
    <sheet name="Krycí list rozpočtu" sheetId="2" r:id="rId2"/>
  </sheets>
  <definedNames/>
  <calcPr fullCalcOnLoad="1"/>
</workbook>
</file>

<file path=xl/sharedStrings.xml><?xml version="1.0" encoding="utf-8"?>
<sst xmlns="http://schemas.openxmlformats.org/spreadsheetml/2006/main" count="430" uniqueCount="271">
  <si>
    <t>Stavební rozpočet</t>
  </si>
  <si>
    <t>Název stavby:</t>
  </si>
  <si>
    <t>Druh stavby:</t>
  </si>
  <si>
    <t>Lokalita:</t>
  </si>
  <si>
    <t>JKSO:</t>
  </si>
  <si>
    <t xml:space="preserve"> </t>
  </si>
  <si>
    <t>Č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</si>
  <si>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</si>
  <si>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</si>
  <si>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</si>
  <si>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</si>
  <si>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</si>
  <si>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</si>
  <si>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</si>
  <si>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</si>
  <si>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</si>
  <si>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</si>
  <si>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</si>
  <si>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</si>
  <si>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</si>
  <si>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</si>
  <si>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</si>
  <si>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</si>
  <si>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</si>
  <si>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</si>
  <si>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</si>
  <si>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</si>
  <si>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</si>
  <si>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</si>
  <si>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</si>
  <si>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</si>
  <si>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</si>
  <si>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</si>
  <si>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</si>
  <si>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</si>
  <si>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</si>
  <si>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</si>
  <si>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</si>
  <si>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</si>
  <si>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</si>
  <si>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</si>
  <si>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</si>
  <si>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</si>
  <si>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</si>
  <si>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</si>
  <si>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</si>
  <si>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</si>
  <si>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</si>
  <si>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</si>
  <si>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</si>
  <si>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</si>
  <si>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</si>
  <si>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</si>
  <si>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</si>
  <si>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</si>
  <si>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</si>
  <si>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</si>
  <si>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</si>
  <si>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Objekt</t>
  </si>
  <si>
    <t>Kód</t>
  </si>
  <si>
    <t>979012212R00</t>
  </si>
  <si>
    <t>979084216R00</t>
  </si>
  <si>
    <t>979095311R00</t>
  </si>
  <si>
    <t>979999999R00</t>
  </si>
  <si>
    <t>111201101R00</t>
  </si>
  <si>
    <t>111201401R00</t>
  </si>
  <si>
    <t>112101101R00</t>
  </si>
  <si>
    <t>112101121R00</t>
  </si>
  <si>
    <t>112101122R00</t>
  </si>
  <si>
    <t>112111111R00</t>
  </si>
  <si>
    <t>115006112R00</t>
  </si>
  <si>
    <t>115101202R00</t>
  </si>
  <si>
    <t>119001411R00</t>
  </si>
  <si>
    <t>120901103R00</t>
  </si>
  <si>
    <t>123302101R00</t>
  </si>
  <si>
    <t>151101101R00</t>
  </si>
  <si>
    <t>151101111R00</t>
  </si>
  <si>
    <t>161101102R00</t>
  </si>
  <si>
    <t>162304311R00</t>
  </si>
  <si>
    <t>162601101R00</t>
  </si>
  <si>
    <t>167101101R00</t>
  </si>
  <si>
    <t>171201201RT1</t>
  </si>
  <si>
    <t>182101101R00</t>
  </si>
  <si>
    <t>184807111R00</t>
  </si>
  <si>
    <t>184807112R00</t>
  </si>
  <si>
    <t>215901101R00</t>
  </si>
  <si>
    <t>279321311R00</t>
  </si>
  <si>
    <t>279351101R00</t>
  </si>
  <si>
    <t>279351102R00</t>
  </si>
  <si>
    <t>279362021R00</t>
  </si>
  <si>
    <t>281611131R00</t>
  </si>
  <si>
    <t>289471212R00</t>
  </si>
  <si>
    <t>289471411R00</t>
  </si>
  <si>
    <t>289901212R00</t>
  </si>
  <si>
    <t>327213345R00</t>
  </si>
  <si>
    <t>327321112R00</t>
  </si>
  <si>
    <t>327351010R00</t>
  </si>
  <si>
    <t>327352010R00</t>
  </si>
  <si>
    <t>327368211R00</t>
  </si>
  <si>
    <t>998332011R00</t>
  </si>
  <si>
    <t>434212111R00</t>
  </si>
  <si>
    <t>434351141R00</t>
  </si>
  <si>
    <t>434351142R00</t>
  </si>
  <si>
    <t>462513161R00</t>
  </si>
  <si>
    <t>767</t>
  </si>
  <si>
    <t>767911120R00</t>
  </si>
  <si>
    <t>767911821R00</t>
  </si>
  <si>
    <t>88</t>
  </si>
  <si>
    <t>881267111R00</t>
  </si>
  <si>
    <t>881268111R00</t>
  </si>
  <si>
    <t>94</t>
  </si>
  <si>
    <t>941941031R00</t>
  </si>
  <si>
    <t>941941831R00</t>
  </si>
  <si>
    <t>96</t>
  </si>
  <si>
    <t>962021112R00</t>
  </si>
  <si>
    <t>Oprava pobřežních zdí Dalejský potok</t>
  </si>
  <si>
    <t>oprava</t>
  </si>
  <si>
    <t>k.ú.Řeporyje</t>
  </si>
  <si>
    <t>Zkrácený popis</t>
  </si>
  <si>
    <t>Přesuny sutí</t>
  </si>
  <si>
    <t>Svislá doprava suti a vybour. hmot na H do 4 m</t>
  </si>
  <si>
    <t>Vodorovná doprava vybour. hmot po suchu do 5 km</t>
  </si>
  <si>
    <t>Naložení a složení vybouraných hmot/konstrukcí</t>
  </si>
  <si>
    <t>Poplatek za skladku</t>
  </si>
  <si>
    <t>Přípravné a přidružené práce</t>
  </si>
  <si>
    <t>Odstranění křovin i s kořeny (SO 01,SO 02)</t>
  </si>
  <si>
    <t>Likvidace křovin a stromů o průměru do 100 mm (SO 01,SO 02)</t>
  </si>
  <si>
    <t>Kácení stromů listnatých o průměru kmene 10-30 cm (SO 01,02)</t>
  </si>
  <si>
    <t>Kácení stromů jehličnatých o průměru kmene 10-30cm (SO 01)</t>
  </si>
  <si>
    <t>Kácení stromů jehličnatých o průměru kmene 30-50cm (SO 01)</t>
  </si>
  <si>
    <t>Likvidace všech druhů stromů</t>
  </si>
  <si>
    <t>Převedení vody během stavby (zajímk, žlab (SO 01,SO 02)</t>
  </si>
  <si>
    <t>Čerpání vody (SO 01,SO 02)</t>
  </si>
  <si>
    <t>Dočasné zajištění potrubí (stávající výusti a IS) - SO 01,02</t>
  </si>
  <si>
    <t>Odkopávky a prokopávky</t>
  </si>
  <si>
    <t>Odstranění konstr. s uložením - cihelná zeď (SO 01)</t>
  </si>
  <si>
    <t>Vykopávky (V) základ zdi a pročištění PP (SO 01,02)</t>
  </si>
  <si>
    <t>Roubení</t>
  </si>
  <si>
    <t>Pažení a rozepření stěn (SO 01,02)</t>
  </si>
  <si>
    <t>Odstranění paženi stěn (SO 01,02)</t>
  </si>
  <si>
    <t>Přemístění výkopku</t>
  </si>
  <si>
    <t>Svislé přemístění výkopku z hor.1-4 do 4,0 m (SO 01,02)</t>
  </si>
  <si>
    <t>Vodorovné přemístění křovin do 1000 m,D do 10 cm (SO 01,02)</t>
  </si>
  <si>
    <t>Vodorovné přemístění výkopku z hor.1-4 (SO 01,02)</t>
  </si>
  <si>
    <t>Nakládání výkopku z hor.1-4 v množství do 100 m3 (SO 01,02)</t>
  </si>
  <si>
    <t>Konstrukce ze zemin</t>
  </si>
  <si>
    <t>Uložení výkopku na skládku (SO 01,02)</t>
  </si>
  <si>
    <t>Povrchové úpravy terénu</t>
  </si>
  <si>
    <t>Svahování průtočného profilu (SO 01,02)</t>
  </si>
  <si>
    <t>Ochrana stromu bedněním - zřízení (SO 01,02)</t>
  </si>
  <si>
    <t>Ochrana stromu bedněním - odstranění (SO 01,02)</t>
  </si>
  <si>
    <t>Úprava podloží a základové spáry</t>
  </si>
  <si>
    <t>Zhutnění podloží základu (SO 01,02)</t>
  </si>
  <si>
    <t>Základy</t>
  </si>
  <si>
    <t>Železobeton základových zdí B 20 (C 16/20) - BZ(SO 01,02)</t>
  </si>
  <si>
    <t>Bednění stěn základu - zřízení (SO 01,02)</t>
  </si>
  <si>
    <t>Bednění stěn základu - odstranění (SO 01,02)</t>
  </si>
  <si>
    <t>Výztuž základových zdí ze svařovaných sítí d.8, 100/100 (SO 02,03)</t>
  </si>
  <si>
    <t>Zpevňování hornin a konstrukcí</t>
  </si>
  <si>
    <t>Hmoty pro injektáž nízkot. - lokální opravy (SO 01)</t>
  </si>
  <si>
    <t>Sanace trhlin stěn hl.spárováním š.5 cm, hl.30 cm (SO 01)</t>
  </si>
  <si>
    <t>Sanace dutin do 1m beztlak.zalitím (SO 01)</t>
  </si>
  <si>
    <t>Vyčištění trhlin stěny do 5 cm hl. do 30 cm (SO 01)</t>
  </si>
  <si>
    <t>Zdi přehradní a opěrné</t>
  </si>
  <si>
    <t>Zdivo nadzákl. opěrné z lom.kam., obkladní s vyspár.(K)-SO 01,02</t>
  </si>
  <si>
    <t>Opěrné zdi z betonu železového vodost. (B)-SO 01,02</t>
  </si>
  <si>
    <t>Obednění opěrných zdí ploch rovinných (SO 01,02)</t>
  </si>
  <si>
    <t>Odbednění opěrných zdí ploch rovinných (SO 01,02)</t>
  </si>
  <si>
    <t>Výztuž opěrných zdí svařovanou sítí d.8, 100x100 (SO 01,02)</t>
  </si>
  <si>
    <t>Nádrže na tocích, úpravy toků a kanály</t>
  </si>
  <si>
    <t>Přesun hmot, úpravy toků a kanálů, hráze ostatní</t>
  </si>
  <si>
    <t>Schodiště</t>
  </si>
  <si>
    <t>Schody z lom. kamene na MC 10 v opěrných zídkách (SO 01)</t>
  </si>
  <si>
    <t>Bednění stupňů přímočarých - zřízení (SO 01)</t>
  </si>
  <si>
    <t>Bednění stupňů přímočarých - odstranění (SO 01)</t>
  </si>
  <si>
    <t>Zpevněné plochy (kromě vozovek a železničního svršku)</t>
  </si>
  <si>
    <t>Zához z kamene zához. nad 200 kg (SO 01,02)</t>
  </si>
  <si>
    <t>Konstrukce doplňkové stavební (zámečnické)</t>
  </si>
  <si>
    <t>Montáž provizorního oplocení v době stavby (SO 01)</t>
  </si>
  <si>
    <t>Demontáž provizorního oplocení (SO 01)</t>
  </si>
  <si>
    <t>Potrubí z drenážek</t>
  </si>
  <si>
    <t>Drenážní potrubí  DN 100 (SO 01,02)</t>
  </si>
  <si>
    <t>Příplatek za osazení odvod. drénu (SO 01,02)</t>
  </si>
  <si>
    <t>Lešení a stavební výtahy</t>
  </si>
  <si>
    <t>Montáž lešení.s podlahami včetně kotvení,š.do 1 m  (SO 01)</t>
  </si>
  <si>
    <t>Demontáž lešení leh.řad.s podlahami,š.1 m (SO 01)</t>
  </si>
  <si>
    <t>Bourání konstrukcí</t>
  </si>
  <si>
    <t>Odstranění pobřežních zdí z kamene a cihel - OZ (SO 02,03)</t>
  </si>
  <si>
    <t>Doba výstavby:</t>
  </si>
  <si>
    <t>Začátek výstavby:</t>
  </si>
  <si>
    <t>Konec výstavby:</t>
  </si>
  <si>
    <t>Zpracováno dne:</t>
  </si>
  <si>
    <t>M.j.</t>
  </si>
  <si>
    <t>t</t>
  </si>
  <si>
    <t>m2</t>
  </si>
  <si>
    <t>kus</t>
  </si>
  <si>
    <t>m</t>
  </si>
  <si>
    <t>hod</t>
  </si>
  <si>
    <t>m3</t>
  </si>
  <si>
    <t>Množství</t>
  </si>
  <si>
    <t>124 dní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</si>
  <si>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</si>
  <si>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</si>
  <si>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</si>
  <si>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</si>
  <si>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</si>
  <si>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</si>
  <si>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</si>
  <si>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</si>
  <si>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</si>
  <si>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</si>
  <si>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Hl.m.Praha</t>
  </si>
  <si>
    <t>Ing. Stiborová Jarmila</t>
  </si>
  <si>
    <t>Celkem</t>
  </si>
  <si>
    <t>Hmotnost (t)</t>
  </si>
  <si>
    <t>Přesuny</t>
  </si>
  <si>
    <t>Typ skupiny</t>
  </si>
  <si>
    <t>OM</t>
  </si>
  <si>
    <t>HS</t>
  </si>
  <si>
    <t>PR</t>
  </si>
  <si>
    <t>PS</t>
  </si>
  <si>
    <t>HSV mat</t>
  </si>
  <si>
    <t>HSV prac</t>
  </si>
  <si>
    <t>PSV mat</t>
  </si>
  <si>
    <t>PSV prac</t>
  </si>
  <si>
    <t>Mont mat</t>
  </si>
  <si>
    <t>Mont prac</t>
  </si>
  <si>
    <t>Ostatní mat.</t>
  </si>
  <si>
    <t>Krycí list rozpočtu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</si>
  <si>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</si>
  <si>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</si>
  <si>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</si>
  <si>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</si>
  <si>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</si>
  <si>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</si>
  <si>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</si>
  <si>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</si>
  <si>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</si>
  <si>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Projektant</t>
  </si>
  <si>
    <t>Datum, razítko a podpis</t>
  </si>
  <si>
    <t>Základní rozpočtové náklady</t>
  </si>
  <si>
    <t>Dodávky</t>
  </si>
  <si>
    <t>B</t>
  </si>
  <si>
    <t>Práce přesčas</t>
  </si>
  <si>
    <t>Bez pevné podl.</t>
  </si>
  <si>
    <t>Kulturní památka</t>
  </si>
  <si>
    <t>DN celkem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</si>
  <si>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</si>
  <si>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</si>
  <si>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</si>
  <si>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</si>
  <si>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</si>
  <si>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</si>
  <si>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</si>
  <si>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</si>
  <si>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</si>
  <si>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</si>
  <si>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</si>
  <si>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</si>
  <si>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</si>
  <si>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</si>
  <si>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</si>
  <si>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</si>
  <si>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</si>
  <si>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Oprava pobřežních zdí Dalejský potok ř.km 9,20-9,25</t>
  </si>
  <si>
    <t>Základ 15%</t>
  </si>
  <si>
    <t>DPH 15%</t>
  </si>
  <si>
    <t>Základ 21%</t>
  </si>
  <si>
    <t>DPH 21%</t>
  </si>
  <si>
    <t>3. Q. 2015</t>
  </si>
  <si>
    <t>4. Q. 2015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</si>
</sst>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45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61"/>
      <name val="Arial"/>
      <family val="0"/>
    </font>
    <font>
      <sz val="24"/>
      <color indexed="8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8"/>
      <color indexed="49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54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1" fillId="20" borderId="0" applyNumberFormat="0" applyBorder="0" applyAlignment="0" applyProtection="0"/>
    <xf numFmtId="0" fontId="32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94">
    <xf numFmtId="0" fontId="1" fillId="0" borderId="0" xfId="0" applyFont="1" applyAlignment="1">
      <alignment vertical="center"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9" fontId="1" fillId="33" borderId="12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1" fillId="33" borderId="0" xfId="0" applyNumberFormat="1" applyFont="1" applyFill="1" applyBorder="1" applyAlignment="1" applyProtection="1">
      <alignment horizontal="left" vertical="center"/>
      <protection/>
    </xf>
    <xf numFmtId="49" fontId="4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9" fontId="1" fillId="0" borderId="15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49" fontId="3" fillId="33" borderId="12" xfId="0" applyNumberFormat="1" applyFont="1" applyFill="1" applyBorder="1" applyAlignment="1" applyProtection="1">
      <alignment horizontal="left" vertical="center"/>
      <protection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4" fontId="4" fillId="0" borderId="0" xfId="0" applyNumberFormat="1" applyFont="1" applyFill="1" applyBorder="1" applyAlignment="1" applyProtection="1">
      <alignment horizontal="right" vertical="center"/>
      <protection/>
    </xf>
    <xf numFmtId="4" fontId="4" fillId="0" borderId="13" xfId="0" applyNumberFormat="1" applyFont="1" applyFill="1" applyBorder="1" applyAlignment="1" applyProtection="1">
      <alignment horizontal="right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3" fillId="33" borderId="12" xfId="0" applyNumberFormat="1" applyFont="1" applyFill="1" applyBorder="1" applyAlignment="1" applyProtection="1">
      <alignment horizontal="right" vertical="center"/>
      <protection/>
    </xf>
    <xf numFmtId="49" fontId="3" fillId="33" borderId="0" xfId="0" applyNumberFormat="1" applyFont="1" applyFill="1" applyBorder="1" applyAlignment="1" applyProtection="1">
      <alignment horizontal="right" vertical="center"/>
      <protection/>
    </xf>
    <xf numFmtId="0" fontId="1" fillId="0" borderId="22" xfId="0" applyNumberFormat="1" applyFont="1" applyFill="1" applyBorder="1" applyAlignment="1" applyProtection="1">
      <alignment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3" fillId="33" borderId="12" xfId="0" applyNumberFormat="1" applyFont="1" applyFill="1" applyBorder="1" applyAlignment="1" applyProtection="1">
      <alignment horizontal="right" vertical="center"/>
      <protection/>
    </xf>
    <xf numFmtId="4" fontId="3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49" fontId="7" fillId="33" borderId="24" xfId="0" applyNumberFormat="1" applyFont="1" applyFill="1" applyBorder="1" applyAlignment="1" applyProtection="1">
      <alignment horizontal="center" vertical="center"/>
      <protection/>
    </xf>
    <xf numFmtId="49" fontId="8" fillId="0" borderId="25" xfId="0" applyNumberFormat="1" applyFont="1" applyFill="1" applyBorder="1" applyAlignment="1" applyProtection="1">
      <alignment horizontal="left" vertical="center"/>
      <protection/>
    </xf>
    <xf numFmtId="49" fontId="8" fillId="0" borderId="26" xfId="0" applyNumberFormat="1" applyFont="1" applyFill="1" applyBorder="1" applyAlignment="1" applyProtection="1">
      <alignment horizontal="left" vertical="center"/>
      <protection/>
    </xf>
    <xf numFmtId="0" fontId="1" fillId="0" borderId="27" xfId="0" applyNumberFormat="1" applyFont="1" applyFill="1" applyBorder="1" applyAlignment="1" applyProtection="1">
      <alignment vertical="center"/>
      <protection/>
    </xf>
    <xf numFmtId="0" fontId="1" fillId="0" borderId="28" xfId="0" applyNumberFormat="1" applyFont="1" applyFill="1" applyBorder="1" applyAlignment="1" applyProtection="1">
      <alignment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49" fontId="9" fillId="0" borderId="24" xfId="0" applyNumberFormat="1" applyFont="1" applyFill="1" applyBorder="1" applyAlignment="1" applyProtection="1">
      <alignment horizontal="left" vertical="center"/>
      <protection/>
    </xf>
    <xf numFmtId="0" fontId="9" fillId="0" borderId="24" xfId="0" applyNumberFormat="1" applyFont="1" applyFill="1" applyBorder="1" applyAlignment="1" applyProtection="1">
      <alignment horizontal="right" vertical="center"/>
      <protection/>
    </xf>
    <xf numFmtId="0" fontId="8" fillId="33" borderId="29" xfId="0" applyNumberFormat="1" applyFont="1" applyFill="1" applyBorder="1" applyAlignment="1" applyProtection="1">
      <alignment horizontal="right"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49" fontId="9" fillId="0" borderId="24" xfId="0" applyNumberFormat="1" applyFont="1" applyFill="1" applyBorder="1" applyAlignment="1" applyProtection="1">
      <alignment horizontal="right" vertical="center"/>
      <protection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0" fontId="3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49" fontId="3" fillId="0" borderId="31" xfId="0" applyNumberFormat="1" applyFont="1" applyFill="1" applyBorder="1" applyAlignment="1" applyProtection="1">
      <alignment horizontal="center" vertical="center"/>
      <protection/>
    </xf>
    <xf numFmtId="0" fontId="3" fillId="0" borderId="32" xfId="0" applyNumberFormat="1" applyFont="1" applyFill="1" applyBorder="1" applyAlignment="1" applyProtection="1">
      <alignment horizontal="center" vertical="center"/>
      <protection/>
    </xf>
    <xf numFmtId="0" fontId="3" fillId="0" borderId="33" xfId="0" applyNumberFormat="1" applyFont="1" applyFill="1" applyBorder="1" applyAlignment="1" applyProtection="1">
      <alignment horizontal="center" vertical="center"/>
      <protection/>
    </xf>
    <xf numFmtId="49" fontId="3" fillId="33" borderId="12" xfId="0" applyNumberFormat="1" applyFont="1" applyFill="1" applyBorder="1" applyAlignment="1" applyProtection="1">
      <alignment horizontal="left" vertical="center"/>
      <protection/>
    </xf>
    <xf numFmtId="0" fontId="3" fillId="33" borderId="12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35" xfId="0" applyNumberFormat="1" applyFont="1" applyFill="1" applyBorder="1" applyAlignment="1" applyProtection="1">
      <alignment horizontal="left" vertical="center"/>
      <protection/>
    </xf>
    <xf numFmtId="0" fontId="1" fillId="0" borderId="36" xfId="0" applyNumberFormat="1" applyFont="1" applyFill="1" applyBorder="1" applyAlignment="1" applyProtection="1">
      <alignment horizontal="left" vertical="center"/>
      <protection/>
    </xf>
    <xf numFmtId="0" fontId="1" fillId="0" borderId="37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49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49" fontId="1" fillId="0" borderId="38" xfId="0" applyNumberFormat="1" applyFont="1" applyFill="1" applyBorder="1" applyAlignment="1" applyProtection="1">
      <alignment horizontal="left" vertical="center"/>
      <protection/>
    </xf>
    <xf numFmtId="0" fontId="1" fillId="0" borderId="22" xfId="0" applyNumberFormat="1" applyFont="1" applyFill="1" applyBorder="1" applyAlignment="1" applyProtection="1">
      <alignment horizontal="left" vertical="center"/>
      <protection/>
    </xf>
    <xf numFmtId="49" fontId="1" fillId="0" borderId="22" xfId="0" applyNumberFormat="1" applyFont="1" applyFill="1" applyBorder="1" applyAlignment="1" applyProtection="1">
      <alignment horizontal="left" vertical="center"/>
      <protection/>
    </xf>
    <xf numFmtId="0" fontId="1" fillId="0" borderId="39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23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40" xfId="0" applyNumberFormat="1" applyFont="1" applyFill="1" applyBorder="1" applyAlignment="1" applyProtection="1">
      <alignment horizontal="left" vertical="center"/>
      <protection/>
    </xf>
    <xf numFmtId="49" fontId="9" fillId="0" borderId="41" xfId="0" applyNumberFormat="1" applyFont="1" applyFill="1" applyBorder="1" applyAlignment="1" applyProtection="1">
      <alignment horizontal="left" vertical="center"/>
      <protection/>
    </xf>
    <xf numFmtId="0" fontId="9" fillId="0" borderId="34" xfId="0" applyNumberFormat="1" applyFont="1" applyFill="1" applyBorder="1" applyAlignment="1" applyProtection="1">
      <alignment horizontal="left" vertical="center"/>
      <protection/>
    </xf>
    <xf numFmtId="0" fontId="9" fillId="0" borderId="42" xfId="0" applyNumberFormat="1" applyFont="1" applyFill="1" applyBorder="1" applyAlignment="1" applyProtection="1">
      <alignment horizontal="left" vertical="center"/>
      <protection/>
    </xf>
    <xf numFmtId="49" fontId="8" fillId="33" borderId="43" xfId="0" applyNumberFormat="1" applyFont="1" applyFill="1" applyBorder="1" applyAlignment="1" applyProtection="1">
      <alignment horizontal="left" vertical="center"/>
      <protection/>
    </xf>
    <xf numFmtId="0" fontId="8" fillId="33" borderId="27" xfId="0" applyNumberFormat="1" applyFont="1" applyFill="1" applyBorder="1" applyAlignment="1" applyProtection="1">
      <alignment horizontal="left" vertical="center"/>
      <protection/>
    </xf>
    <xf numFmtId="49" fontId="9" fillId="0" borderId="44" xfId="0" applyNumberFormat="1" applyFont="1" applyFill="1" applyBorder="1" applyAlignment="1" applyProtection="1">
      <alignment horizontal="left" vertical="center"/>
      <protection/>
    </xf>
    <xf numFmtId="0" fontId="9" fillId="0" borderId="12" xfId="0" applyNumberFormat="1" applyFont="1" applyFill="1" applyBorder="1" applyAlignment="1" applyProtection="1">
      <alignment horizontal="left" vertical="center"/>
      <protection/>
    </xf>
    <xf numFmtId="0" fontId="9" fillId="0" borderId="45" xfId="0" applyNumberFormat="1" applyFont="1" applyFill="1" applyBorder="1" applyAlignment="1" applyProtection="1">
      <alignment horizontal="left" vertical="center"/>
      <protection/>
    </xf>
    <xf numFmtId="49" fontId="9" fillId="0" borderId="43" xfId="0" applyNumberFormat="1" applyFont="1" applyFill="1" applyBorder="1" applyAlignment="1" applyProtection="1">
      <alignment horizontal="left" vertical="center"/>
      <protection/>
    </xf>
    <xf numFmtId="0" fontId="9" fillId="0" borderId="29" xfId="0" applyNumberFormat="1" applyFont="1" applyFill="1" applyBorder="1" applyAlignment="1" applyProtection="1">
      <alignment horizontal="left" vertical="center"/>
      <protection/>
    </xf>
    <xf numFmtId="49" fontId="8" fillId="0" borderId="43" xfId="0" applyNumberFormat="1" applyFont="1" applyFill="1" applyBorder="1" applyAlignment="1" applyProtection="1">
      <alignment horizontal="left" vertical="center"/>
      <protection/>
    </xf>
    <xf numFmtId="0" fontId="8" fillId="0" borderId="29" xfId="0" applyNumberFormat="1" applyFont="1" applyFill="1" applyBorder="1" applyAlignment="1" applyProtection="1">
      <alignment horizontal="left" vertical="center"/>
      <protection/>
    </xf>
    <xf numFmtId="49" fontId="10" fillId="0" borderId="43" xfId="0" applyNumberFormat="1" applyFont="1" applyFill="1" applyBorder="1" applyAlignment="1" applyProtection="1">
      <alignment horizontal="left" vertical="center"/>
      <protection/>
    </xf>
    <xf numFmtId="0" fontId="10" fillId="0" borderId="29" xfId="0" applyNumberFormat="1" applyFont="1" applyFill="1" applyBorder="1" applyAlignment="1" applyProtection="1">
      <alignment horizontal="left" vertical="center"/>
      <protection/>
    </xf>
    <xf numFmtId="49" fontId="1" fillId="0" borderId="35" xfId="0" applyNumberFormat="1" applyFont="1" applyFill="1" applyBorder="1" applyAlignment="1" applyProtection="1">
      <alignment horizontal="left" vertical="center"/>
      <protection/>
    </xf>
    <xf numFmtId="49" fontId="1" fillId="0" borderId="36" xfId="0" applyNumberFormat="1" applyFont="1" applyFill="1" applyBorder="1" applyAlignment="1" applyProtection="1">
      <alignment horizontal="left" vertical="center"/>
      <protection/>
    </xf>
    <xf numFmtId="14" fontId="1" fillId="0" borderId="36" xfId="0" applyNumberFormat="1" applyFont="1" applyFill="1" applyBorder="1" applyAlignment="1" applyProtection="1">
      <alignment horizontal="left" vertical="center"/>
      <protection/>
    </xf>
    <xf numFmtId="0" fontId="1" fillId="0" borderId="46" xfId="0" applyNumberFormat="1" applyFont="1" applyFill="1" applyBorder="1" applyAlignment="1" applyProtection="1">
      <alignment horizontal="left" vertical="center"/>
      <protection/>
    </xf>
    <xf numFmtId="49" fontId="6" fillId="0" borderId="27" xfId="0" applyNumberFormat="1" applyFont="1" applyFill="1" applyBorder="1" applyAlignment="1" applyProtection="1">
      <alignment horizontal="center" vertical="center"/>
      <protection/>
    </xf>
    <xf numFmtId="0" fontId="6" fillId="0" borderId="27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49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30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000000"/>
      <rgbColor rgb="0000000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81"/>
  <sheetViews>
    <sheetView tabSelected="1" zoomScalePageLayoutView="0" workbookViewId="0" topLeftCell="A4">
      <selection activeCell="H21" sqref="H21"/>
    </sheetView>
  </sheetViews>
  <sheetFormatPr defaultColWidth="11.421875" defaultRowHeight="12.75"/>
  <cols>
    <col min="1" max="2" width="3.7109375" style="0" customWidth="1"/>
    <col min="3" max="3" width="13.28125" style="0" customWidth="1"/>
    <col min="4" max="4" width="57.00390625" style="0" customWidth="1"/>
    <col min="5" max="5" width="4.28125" style="0" customWidth="1"/>
    <col min="6" max="6" width="10.8515625" style="0" customWidth="1"/>
    <col min="7" max="7" width="12.00390625" style="0" customWidth="1"/>
    <col min="8" max="10" width="14.28125" style="0" customWidth="1"/>
    <col min="11" max="12" width="11.7109375" style="0" customWidth="1"/>
    <col min="13" max="13" width="11.421875" style="0" customWidth="1"/>
    <col min="14" max="37" width="12.140625" style="0" hidden="1" customWidth="1"/>
  </cols>
  <sheetData>
    <row r="1" spans="1:12" ht="21.75" customHeight="1">
      <c r="A1" s="60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3" ht="12.75">
      <c r="A2" s="62" t="s">
        <v>1</v>
      </c>
      <c r="B2" s="55"/>
      <c r="C2" s="55"/>
      <c r="D2" s="44" t="s">
        <v>264</v>
      </c>
      <c r="E2" s="51" t="s">
        <v>188</v>
      </c>
      <c r="F2" s="55"/>
      <c r="G2" s="51" t="s">
        <v>200</v>
      </c>
      <c r="H2" s="55"/>
      <c r="I2" s="51" t="s">
        <v>206</v>
      </c>
      <c r="J2" s="51" t="s">
        <v>211</v>
      </c>
      <c r="K2" s="55"/>
      <c r="L2" s="56"/>
      <c r="M2" s="23"/>
    </row>
    <row r="3" spans="1:13" ht="12.75">
      <c r="A3" s="63"/>
      <c r="B3" s="52"/>
      <c r="C3" s="52"/>
      <c r="D3" s="66"/>
      <c r="E3" s="52"/>
      <c r="F3" s="52"/>
      <c r="G3" s="52"/>
      <c r="H3" s="52"/>
      <c r="I3" s="52"/>
      <c r="J3" s="52"/>
      <c r="K3" s="52"/>
      <c r="L3" s="57"/>
      <c r="M3" s="23"/>
    </row>
    <row r="4" spans="1:13" ht="12.75">
      <c r="A4" s="64" t="s">
        <v>2</v>
      </c>
      <c r="B4" s="52"/>
      <c r="C4" s="52"/>
      <c r="D4" s="53" t="s">
        <v>116</v>
      </c>
      <c r="E4" s="53" t="s">
        <v>189</v>
      </c>
      <c r="F4" s="52"/>
      <c r="G4" s="59" t="s">
        <v>269</v>
      </c>
      <c r="H4" s="52"/>
      <c r="I4" s="53" t="s">
        <v>207</v>
      </c>
      <c r="J4" s="53" t="s">
        <v>212</v>
      </c>
      <c r="K4" s="52"/>
      <c r="L4" s="57"/>
      <c r="M4" s="23"/>
    </row>
    <row r="5" spans="1:13" ht="12.75">
      <c r="A5" s="63"/>
      <c r="B5" s="52"/>
      <c r="C5" s="52"/>
      <c r="D5" s="52"/>
      <c r="E5" s="52"/>
      <c r="F5" s="52"/>
      <c r="G5" s="52"/>
      <c r="H5" s="52"/>
      <c r="I5" s="52"/>
      <c r="J5" s="52"/>
      <c r="K5" s="52"/>
      <c r="L5" s="57"/>
      <c r="M5" s="23"/>
    </row>
    <row r="6" spans="1:13" ht="12.75">
      <c r="A6" s="64" t="s">
        <v>3</v>
      </c>
      <c r="B6" s="52"/>
      <c r="C6" s="52"/>
      <c r="D6" s="53" t="s">
        <v>117</v>
      </c>
      <c r="E6" s="53" t="s">
        <v>190</v>
      </c>
      <c r="F6" s="52"/>
      <c r="G6" s="59" t="s">
        <v>270</v>
      </c>
      <c r="H6" s="52"/>
      <c r="I6" s="53" t="s">
        <v>208</v>
      </c>
      <c r="J6" s="53"/>
      <c r="K6" s="52"/>
      <c r="L6" s="57"/>
      <c r="M6" s="23"/>
    </row>
    <row r="7" spans="1:13" ht="12.75">
      <c r="A7" s="63"/>
      <c r="B7" s="52"/>
      <c r="C7" s="52"/>
      <c r="D7" s="52"/>
      <c r="E7" s="52"/>
      <c r="F7" s="52"/>
      <c r="G7" s="52"/>
      <c r="H7" s="52"/>
      <c r="I7" s="52"/>
      <c r="J7" s="52"/>
      <c r="K7" s="52"/>
      <c r="L7" s="57"/>
      <c r="M7" s="23"/>
    </row>
    <row r="8" spans="1:13" ht="12.75">
      <c r="A8" s="64" t="s">
        <v>4</v>
      </c>
      <c r="B8" s="52"/>
      <c r="C8" s="52"/>
      <c r="D8" s="53"/>
      <c r="E8" s="53" t="s">
        <v>191</v>
      </c>
      <c r="F8" s="52"/>
      <c r="G8" s="59">
        <v>41817</v>
      </c>
      <c r="H8" s="52"/>
      <c r="I8" s="53" t="s">
        <v>209</v>
      </c>
      <c r="J8" s="53" t="s">
        <v>212</v>
      </c>
      <c r="K8" s="52"/>
      <c r="L8" s="57"/>
      <c r="M8" s="23"/>
    </row>
    <row r="9" spans="1:13" ht="12.75">
      <c r="A9" s="65"/>
      <c r="B9" s="54"/>
      <c r="C9" s="54"/>
      <c r="D9" s="54"/>
      <c r="E9" s="54"/>
      <c r="F9" s="54"/>
      <c r="G9" s="54"/>
      <c r="H9" s="54"/>
      <c r="I9" s="54"/>
      <c r="J9" s="54"/>
      <c r="K9" s="54"/>
      <c r="L9" s="58"/>
      <c r="M9" s="23"/>
    </row>
    <row r="10" spans="1:13" ht="12.75">
      <c r="A10" s="1" t="s">
        <v>5</v>
      </c>
      <c r="B10" s="8" t="s">
        <v>5</v>
      </c>
      <c r="C10" s="8" t="s">
        <v>5</v>
      </c>
      <c r="D10" s="8" t="s">
        <v>5</v>
      </c>
      <c r="E10" s="8" t="s">
        <v>5</v>
      </c>
      <c r="F10" s="8" t="s">
        <v>5</v>
      </c>
      <c r="G10" s="15" t="s">
        <v>201</v>
      </c>
      <c r="H10" s="46" t="s">
        <v>203</v>
      </c>
      <c r="I10" s="47"/>
      <c r="J10" s="48"/>
      <c r="K10" s="46" t="s">
        <v>214</v>
      </c>
      <c r="L10" s="48"/>
      <c r="M10" s="24"/>
    </row>
    <row r="11" spans="1:24" ht="12.75">
      <c r="A11" s="2" t="s">
        <v>6</v>
      </c>
      <c r="B11" s="9" t="s">
        <v>58</v>
      </c>
      <c r="C11" s="9" t="s">
        <v>59</v>
      </c>
      <c r="D11" s="9" t="s">
        <v>118</v>
      </c>
      <c r="E11" s="9" t="s">
        <v>192</v>
      </c>
      <c r="F11" s="12" t="s">
        <v>199</v>
      </c>
      <c r="G11" s="16" t="s">
        <v>202</v>
      </c>
      <c r="H11" s="18" t="s">
        <v>204</v>
      </c>
      <c r="I11" s="19" t="s">
        <v>210</v>
      </c>
      <c r="J11" s="20" t="s">
        <v>213</v>
      </c>
      <c r="K11" s="18" t="s">
        <v>201</v>
      </c>
      <c r="L11" s="20" t="s">
        <v>213</v>
      </c>
      <c r="M11" s="24"/>
      <c r="P11" s="22" t="s">
        <v>215</v>
      </c>
      <c r="Q11" s="22" t="s">
        <v>216</v>
      </c>
      <c r="R11" s="22" t="s">
        <v>221</v>
      </c>
      <c r="S11" s="22" t="s">
        <v>222</v>
      </c>
      <c r="T11" s="22" t="s">
        <v>223</v>
      </c>
      <c r="U11" s="22" t="s">
        <v>224</v>
      </c>
      <c r="V11" s="22" t="s">
        <v>225</v>
      </c>
      <c r="W11" s="22" t="s">
        <v>226</v>
      </c>
      <c r="X11" s="22" t="s">
        <v>227</v>
      </c>
    </row>
    <row r="12" spans="1:37" ht="12.75">
      <c r="A12" s="3"/>
      <c r="B12" s="3"/>
      <c r="C12" s="10"/>
      <c r="D12" s="49" t="s">
        <v>119</v>
      </c>
      <c r="E12" s="50"/>
      <c r="F12" s="50"/>
      <c r="G12" s="50"/>
      <c r="H12" s="27">
        <f>SUM(H13:H16)</f>
        <v>0</v>
      </c>
      <c r="I12" s="27">
        <f>SUM(I13:I16)</f>
        <v>0</v>
      </c>
      <c r="J12" s="27">
        <f>H12+I12</f>
        <v>0</v>
      </c>
      <c r="K12" s="21"/>
      <c r="L12" s="27">
        <f>SUM(L13:L16)</f>
        <v>0</v>
      </c>
      <c r="P12" s="28">
        <f>IF(Q12="PR",J12,SUM(O13:O16))</f>
        <v>0</v>
      </c>
      <c r="Q12" s="22" t="s">
        <v>217</v>
      </c>
      <c r="R12" s="28">
        <f>IF(Q12="HS",H12,0)</f>
        <v>0</v>
      </c>
      <c r="S12" s="28">
        <f>IF(Q12="HS",I12-P12,0)</f>
        <v>0</v>
      </c>
      <c r="T12" s="28">
        <f>IF(Q12="PS",H12,0)</f>
        <v>0</v>
      </c>
      <c r="U12" s="28">
        <f>IF(Q12="PS",I12-P12,0)</f>
        <v>0</v>
      </c>
      <c r="V12" s="28">
        <f>IF(Q12="MP",H12,0)</f>
        <v>0</v>
      </c>
      <c r="W12" s="28">
        <f>IF(Q12="MP",I12-P12,0)</f>
        <v>0</v>
      </c>
      <c r="X12" s="28">
        <f>IF(Q12="OM",H12,0)</f>
        <v>0</v>
      </c>
      <c r="Y12" s="22"/>
      <c r="AI12" s="28">
        <f>SUM(Z13:Z16)</f>
        <v>0</v>
      </c>
      <c r="AJ12" s="28">
        <f>SUM(AA13:AA16)</f>
        <v>0</v>
      </c>
      <c r="AK12" s="28">
        <f>SUM(AB13:AB16)</f>
        <v>0</v>
      </c>
    </row>
    <row r="13" spans="1:32" ht="12.75">
      <c r="A13" s="4" t="s">
        <v>7</v>
      </c>
      <c r="B13" s="4"/>
      <c r="C13" s="4" t="s">
        <v>60</v>
      </c>
      <c r="D13" s="4" t="s">
        <v>120</v>
      </c>
      <c r="E13" s="4" t="s">
        <v>193</v>
      </c>
      <c r="F13" s="13">
        <v>45</v>
      </c>
      <c r="H13" s="13">
        <f>ROUND(F13*AE13,2)</f>
        <v>0</v>
      </c>
      <c r="I13" s="13">
        <f>J13-H13</f>
        <v>0</v>
      </c>
      <c r="J13" s="13">
        <f>ROUND(F13*G13,2)</f>
        <v>0</v>
      </c>
      <c r="K13" s="13">
        <v>0</v>
      </c>
      <c r="L13" s="13">
        <f>F13*K13</f>
        <v>0</v>
      </c>
      <c r="N13" s="25" t="s">
        <v>11</v>
      </c>
      <c r="O13" s="13">
        <f>IF(N13="5",I13,0)</f>
        <v>0</v>
      </c>
      <c r="Z13" s="13">
        <f>IF(AD13=0,J13,0)</f>
        <v>0</v>
      </c>
      <c r="AA13" s="13">
        <f>IF(AD13=14,J13,0)</f>
        <v>0</v>
      </c>
      <c r="AB13" s="13">
        <f>IF(AD13=20,J13,0)</f>
        <v>0</v>
      </c>
      <c r="AD13" s="26">
        <v>20</v>
      </c>
      <c r="AE13" s="26">
        <f>G13*0</f>
        <v>0</v>
      </c>
      <c r="AF13" s="26">
        <f>G13*(1-0)</f>
        <v>0</v>
      </c>
    </row>
    <row r="14" spans="1:32" ht="12.75">
      <c r="A14" s="4" t="s">
        <v>8</v>
      </c>
      <c r="B14" s="4"/>
      <c r="C14" s="4" t="s">
        <v>61</v>
      </c>
      <c r="D14" s="4" t="s">
        <v>121</v>
      </c>
      <c r="E14" s="4" t="s">
        <v>193</v>
      </c>
      <c r="F14" s="13">
        <v>45</v>
      </c>
      <c r="H14" s="13">
        <f>ROUND(F14*AE14,2)</f>
        <v>0</v>
      </c>
      <c r="I14" s="13">
        <f>J14-H14</f>
        <v>0</v>
      </c>
      <c r="J14" s="13">
        <f>ROUND(F14*G14,2)</f>
        <v>0</v>
      </c>
      <c r="K14" s="13">
        <v>0</v>
      </c>
      <c r="L14" s="13">
        <f>F14*K14</f>
        <v>0</v>
      </c>
      <c r="N14" s="25" t="s">
        <v>11</v>
      </c>
      <c r="O14" s="13">
        <f>IF(N14="5",I14,0)</f>
        <v>0</v>
      </c>
      <c r="Z14" s="13">
        <f>IF(AD14=0,J14,0)</f>
        <v>0</v>
      </c>
      <c r="AA14" s="13">
        <f>IF(AD14=14,J14,0)</f>
        <v>0</v>
      </c>
      <c r="AB14" s="13">
        <f>IF(AD14=20,J14,0)</f>
        <v>0</v>
      </c>
      <c r="AD14" s="26">
        <v>20</v>
      </c>
      <c r="AE14" s="26">
        <f>G14*0</f>
        <v>0</v>
      </c>
      <c r="AF14" s="26">
        <f>G14*(1-0)</f>
        <v>0</v>
      </c>
    </row>
    <row r="15" spans="1:32" ht="12.75">
      <c r="A15" s="4" t="s">
        <v>9</v>
      </c>
      <c r="B15" s="4"/>
      <c r="C15" s="4" t="s">
        <v>62</v>
      </c>
      <c r="D15" s="4" t="s">
        <v>122</v>
      </c>
      <c r="E15" s="4" t="s">
        <v>193</v>
      </c>
      <c r="F15" s="13">
        <v>45</v>
      </c>
      <c r="H15" s="13">
        <f>ROUND(F15*AE15,2)</f>
        <v>0</v>
      </c>
      <c r="I15" s="13">
        <f>J15-H15</f>
        <v>0</v>
      </c>
      <c r="J15" s="13">
        <f>ROUND(F15*G15,2)</f>
        <v>0</v>
      </c>
      <c r="K15" s="13">
        <v>0</v>
      </c>
      <c r="L15" s="13">
        <f>F15*K15</f>
        <v>0</v>
      </c>
      <c r="N15" s="25" t="s">
        <v>11</v>
      </c>
      <c r="O15" s="13">
        <f>IF(N15="5",I15,0)</f>
        <v>0</v>
      </c>
      <c r="Z15" s="13">
        <f>IF(AD15=0,J15,0)</f>
        <v>0</v>
      </c>
      <c r="AA15" s="13">
        <f>IF(AD15=14,J15,0)</f>
        <v>0</v>
      </c>
      <c r="AB15" s="13">
        <f>IF(AD15=20,J15,0)</f>
        <v>0</v>
      </c>
      <c r="AD15" s="26">
        <v>20</v>
      </c>
      <c r="AE15" s="26">
        <f>G15*0</f>
        <v>0</v>
      </c>
      <c r="AF15" s="26">
        <f>G15*(1-0)</f>
        <v>0</v>
      </c>
    </row>
    <row r="16" spans="1:32" ht="12.75">
      <c r="A16" s="4" t="s">
        <v>10</v>
      </c>
      <c r="B16" s="4"/>
      <c r="C16" s="4" t="s">
        <v>63</v>
      </c>
      <c r="D16" s="4" t="s">
        <v>123</v>
      </c>
      <c r="E16" s="4" t="s">
        <v>193</v>
      </c>
      <c r="F16" s="13">
        <v>45</v>
      </c>
      <c r="H16" s="13">
        <f>ROUND(F16*AE16,2)</f>
        <v>0</v>
      </c>
      <c r="I16" s="13">
        <f>J16-H16</f>
        <v>0</v>
      </c>
      <c r="J16" s="13">
        <f>ROUND(F16*G16,2)</f>
        <v>0</v>
      </c>
      <c r="K16" s="13">
        <v>0</v>
      </c>
      <c r="L16" s="13">
        <f>F16*K16</f>
        <v>0</v>
      </c>
      <c r="N16" s="25" t="s">
        <v>11</v>
      </c>
      <c r="O16" s="13">
        <f>IF(N16="5",I16,0)</f>
        <v>0</v>
      </c>
      <c r="Z16" s="13">
        <f>IF(AD16=0,J16,0)</f>
        <v>0</v>
      </c>
      <c r="AA16" s="13">
        <f>IF(AD16=14,J16,0)</f>
        <v>0</v>
      </c>
      <c r="AB16" s="13">
        <f>IF(AD16=20,J16,0)</f>
        <v>0</v>
      </c>
      <c r="AD16" s="26">
        <v>20</v>
      </c>
      <c r="AE16" s="26">
        <f>G16*0</f>
        <v>0</v>
      </c>
      <c r="AF16" s="26">
        <f>G16*(1-0)</f>
        <v>0</v>
      </c>
    </row>
    <row r="17" spans="1:37" ht="12.75">
      <c r="A17" s="5"/>
      <c r="B17" s="5"/>
      <c r="C17" s="11" t="s">
        <v>17</v>
      </c>
      <c r="D17" s="42" t="s">
        <v>124</v>
      </c>
      <c r="E17" s="43"/>
      <c r="F17" s="43"/>
      <c r="G17" s="43"/>
      <c r="H17" s="28">
        <f>SUM(H18:H26)</f>
        <v>0</v>
      </c>
      <c r="I17" s="28">
        <f>SUM(I18:I26)</f>
        <v>0</v>
      </c>
      <c r="J17" s="28">
        <f>H17+I17</f>
        <v>0</v>
      </c>
      <c r="K17" s="22"/>
      <c r="L17" s="28">
        <f>SUM(L18:L26)</f>
        <v>4.968999999999999</v>
      </c>
      <c r="P17" s="28">
        <f>IF(Q17="PR",J17,SUM(O18:O26))</f>
        <v>0</v>
      </c>
      <c r="Q17" s="22" t="s">
        <v>218</v>
      </c>
      <c r="R17" s="28">
        <f>IF(Q17="HS",H17,0)</f>
        <v>0</v>
      </c>
      <c r="S17" s="28">
        <f>IF(Q17="HS",I17-P17,0)</f>
        <v>0</v>
      </c>
      <c r="T17" s="28">
        <f>IF(Q17="PS",H17,0)</f>
        <v>0</v>
      </c>
      <c r="U17" s="28">
        <f>IF(Q17="PS",I17-P17,0)</f>
        <v>0</v>
      </c>
      <c r="V17" s="28">
        <f>IF(Q17="MP",H17,0)</f>
        <v>0</v>
      </c>
      <c r="W17" s="28">
        <f>IF(Q17="MP",I17-P17,0)</f>
        <v>0</v>
      </c>
      <c r="X17" s="28">
        <f>IF(Q17="OM",H17,0)</f>
        <v>0</v>
      </c>
      <c r="Y17" s="22"/>
      <c r="AI17" s="28">
        <f>SUM(Z18:Z26)</f>
        <v>0</v>
      </c>
      <c r="AJ17" s="28">
        <f>SUM(AA18:AA26)</f>
        <v>0</v>
      </c>
      <c r="AK17" s="28">
        <f>SUM(AB18:AB26)</f>
        <v>0</v>
      </c>
    </row>
    <row r="18" spans="1:32" ht="12.75">
      <c r="A18" s="4" t="s">
        <v>11</v>
      </c>
      <c r="B18" s="4"/>
      <c r="C18" s="4" t="s">
        <v>64</v>
      </c>
      <c r="D18" s="4" t="s">
        <v>125</v>
      </c>
      <c r="E18" s="4" t="s">
        <v>194</v>
      </c>
      <c r="F18" s="13">
        <v>16</v>
      </c>
      <c r="H18" s="13">
        <f aca="true" t="shared" si="0" ref="H18:H26">ROUND(F18*AE18,2)</f>
        <v>0</v>
      </c>
      <c r="I18" s="13">
        <f aca="true" t="shared" si="1" ref="I18:I26">J18-H18</f>
        <v>0</v>
      </c>
      <c r="J18" s="13">
        <f aca="true" t="shared" si="2" ref="J18:J26">ROUND(F18*G18,2)</f>
        <v>0</v>
      </c>
      <c r="K18" s="13">
        <v>0</v>
      </c>
      <c r="L18" s="13">
        <f aca="true" t="shared" si="3" ref="L18:L26">F18*K18</f>
        <v>0</v>
      </c>
      <c r="N18" s="25" t="s">
        <v>7</v>
      </c>
      <c r="O18" s="13">
        <f aca="true" t="shared" si="4" ref="O18:O26">IF(N18="5",I18,0)</f>
        <v>0</v>
      </c>
      <c r="Z18" s="13">
        <f aca="true" t="shared" si="5" ref="Z18:Z26">IF(AD18=0,J18,0)</f>
        <v>0</v>
      </c>
      <c r="AA18" s="13">
        <f aca="true" t="shared" si="6" ref="AA18:AA26">IF(AD18=14,J18,0)</f>
        <v>0</v>
      </c>
      <c r="AB18" s="13">
        <f aca="true" t="shared" si="7" ref="AB18:AB26">IF(AD18=20,J18,0)</f>
        <v>0</v>
      </c>
      <c r="AD18" s="26">
        <v>20</v>
      </c>
      <c r="AE18" s="26">
        <f>G18*0</f>
        <v>0</v>
      </c>
      <c r="AF18" s="26">
        <f>G18*(1-0)</f>
        <v>0</v>
      </c>
    </row>
    <row r="19" spans="1:32" ht="12.75">
      <c r="A19" s="4" t="s">
        <v>12</v>
      </c>
      <c r="B19" s="4"/>
      <c r="C19" s="4" t="s">
        <v>65</v>
      </c>
      <c r="D19" s="4" t="s">
        <v>126</v>
      </c>
      <c r="E19" s="4" t="s">
        <v>194</v>
      </c>
      <c r="F19" s="13">
        <v>16</v>
      </c>
      <c r="H19" s="13">
        <f t="shared" si="0"/>
        <v>0</v>
      </c>
      <c r="I19" s="13">
        <f t="shared" si="1"/>
        <v>0</v>
      </c>
      <c r="J19" s="13">
        <f t="shared" si="2"/>
        <v>0</v>
      </c>
      <c r="K19" s="13">
        <v>0</v>
      </c>
      <c r="L19" s="13">
        <f t="shared" si="3"/>
        <v>0</v>
      </c>
      <c r="N19" s="25" t="s">
        <v>7</v>
      </c>
      <c r="O19" s="13">
        <f t="shared" si="4"/>
        <v>0</v>
      </c>
      <c r="Z19" s="13">
        <f t="shared" si="5"/>
        <v>0</v>
      </c>
      <c r="AA19" s="13">
        <f t="shared" si="6"/>
        <v>0</v>
      </c>
      <c r="AB19" s="13">
        <f t="shared" si="7"/>
        <v>0</v>
      </c>
      <c r="AD19" s="26">
        <v>20</v>
      </c>
      <c r="AE19" s="26">
        <f>G19*0.173382173382173</f>
        <v>0</v>
      </c>
      <c r="AF19" s="26">
        <f>G19*(1-0.173382173382173)</f>
        <v>0</v>
      </c>
    </row>
    <row r="20" spans="1:32" ht="12.75">
      <c r="A20" s="4" t="s">
        <v>13</v>
      </c>
      <c r="B20" s="4"/>
      <c r="C20" s="4" t="s">
        <v>66</v>
      </c>
      <c r="D20" s="4" t="s">
        <v>127</v>
      </c>
      <c r="E20" s="4" t="s">
        <v>195</v>
      </c>
      <c r="F20" s="13">
        <v>4</v>
      </c>
      <c r="H20" s="13">
        <f t="shared" si="0"/>
        <v>0</v>
      </c>
      <c r="I20" s="13">
        <f t="shared" si="1"/>
        <v>0</v>
      </c>
      <c r="J20" s="13">
        <f t="shared" si="2"/>
        <v>0</v>
      </c>
      <c r="K20" s="13">
        <v>0</v>
      </c>
      <c r="L20" s="13">
        <f t="shared" si="3"/>
        <v>0</v>
      </c>
      <c r="N20" s="25" t="s">
        <v>7</v>
      </c>
      <c r="O20" s="13">
        <f t="shared" si="4"/>
        <v>0</v>
      </c>
      <c r="Z20" s="13">
        <f t="shared" si="5"/>
        <v>0</v>
      </c>
      <c r="AA20" s="13">
        <f t="shared" si="6"/>
        <v>0</v>
      </c>
      <c r="AB20" s="13">
        <f t="shared" si="7"/>
        <v>0</v>
      </c>
      <c r="AD20" s="26">
        <v>20</v>
      </c>
      <c r="AE20" s="26">
        <f>G20*0</f>
        <v>0</v>
      </c>
      <c r="AF20" s="26">
        <f>G20*(1-0)</f>
        <v>0</v>
      </c>
    </row>
    <row r="21" spans="1:32" ht="12.75">
      <c r="A21" s="4" t="s">
        <v>14</v>
      </c>
      <c r="B21" s="4"/>
      <c r="C21" s="4" t="s">
        <v>67</v>
      </c>
      <c r="D21" s="4" t="s">
        <v>128</v>
      </c>
      <c r="E21" s="4" t="s">
        <v>195</v>
      </c>
      <c r="F21" s="13">
        <v>1</v>
      </c>
      <c r="H21" s="13">
        <f t="shared" si="0"/>
        <v>0</v>
      </c>
      <c r="I21" s="13">
        <f t="shared" si="1"/>
        <v>0</v>
      </c>
      <c r="J21" s="13">
        <f t="shared" si="2"/>
        <v>0</v>
      </c>
      <c r="K21" s="13">
        <v>0</v>
      </c>
      <c r="L21" s="13">
        <f t="shared" si="3"/>
        <v>0</v>
      </c>
      <c r="N21" s="25" t="s">
        <v>7</v>
      </c>
      <c r="O21" s="13">
        <f t="shared" si="4"/>
        <v>0</v>
      </c>
      <c r="Z21" s="13">
        <f t="shared" si="5"/>
        <v>0</v>
      </c>
      <c r="AA21" s="13">
        <f t="shared" si="6"/>
        <v>0</v>
      </c>
      <c r="AB21" s="13">
        <f t="shared" si="7"/>
        <v>0</v>
      </c>
      <c r="AD21" s="26">
        <v>20</v>
      </c>
      <c r="AE21" s="26">
        <f>G21*0</f>
        <v>0</v>
      </c>
      <c r="AF21" s="26">
        <f>G21*(1-0)</f>
        <v>0</v>
      </c>
    </row>
    <row r="22" spans="1:32" ht="12.75">
      <c r="A22" s="4" t="s">
        <v>15</v>
      </c>
      <c r="B22" s="4"/>
      <c r="C22" s="4" t="s">
        <v>68</v>
      </c>
      <c r="D22" s="4" t="s">
        <v>129</v>
      </c>
      <c r="E22" s="4" t="s">
        <v>195</v>
      </c>
      <c r="F22" s="13">
        <v>1</v>
      </c>
      <c r="H22" s="13">
        <f t="shared" si="0"/>
        <v>0</v>
      </c>
      <c r="I22" s="13">
        <f t="shared" si="1"/>
        <v>0</v>
      </c>
      <c r="J22" s="13">
        <f t="shared" si="2"/>
        <v>0</v>
      </c>
      <c r="K22" s="13">
        <v>0</v>
      </c>
      <c r="L22" s="13">
        <f t="shared" si="3"/>
        <v>0</v>
      </c>
      <c r="N22" s="25" t="s">
        <v>7</v>
      </c>
      <c r="O22" s="13">
        <f t="shared" si="4"/>
        <v>0</v>
      </c>
      <c r="Z22" s="13">
        <f t="shared" si="5"/>
        <v>0</v>
      </c>
      <c r="AA22" s="13">
        <f t="shared" si="6"/>
        <v>0</v>
      </c>
      <c r="AB22" s="13">
        <f t="shared" si="7"/>
        <v>0</v>
      </c>
      <c r="AD22" s="26">
        <v>20</v>
      </c>
      <c r="AE22" s="26">
        <f>G22*0</f>
        <v>0</v>
      </c>
      <c r="AF22" s="26">
        <f>G22*(1-0)</f>
        <v>0</v>
      </c>
    </row>
    <row r="23" spans="1:32" ht="12.75">
      <c r="A23" s="4" t="s">
        <v>16</v>
      </c>
      <c r="B23" s="4"/>
      <c r="C23" s="4" t="s">
        <v>69</v>
      </c>
      <c r="D23" s="4" t="s">
        <v>130</v>
      </c>
      <c r="E23" s="4" t="s">
        <v>195</v>
      </c>
      <c r="F23" s="13">
        <v>6</v>
      </c>
      <c r="H23" s="13">
        <f t="shared" si="0"/>
        <v>0</v>
      </c>
      <c r="I23" s="13">
        <f t="shared" si="1"/>
        <v>0</v>
      </c>
      <c r="J23" s="13">
        <f t="shared" si="2"/>
        <v>0</v>
      </c>
      <c r="K23" s="13">
        <v>0</v>
      </c>
      <c r="L23" s="13">
        <f t="shared" si="3"/>
        <v>0</v>
      </c>
      <c r="N23" s="25" t="s">
        <v>7</v>
      </c>
      <c r="O23" s="13">
        <f t="shared" si="4"/>
        <v>0</v>
      </c>
      <c r="Z23" s="13">
        <f t="shared" si="5"/>
        <v>0</v>
      </c>
      <c r="AA23" s="13">
        <f t="shared" si="6"/>
        <v>0</v>
      </c>
      <c r="AB23" s="13">
        <f t="shared" si="7"/>
        <v>0</v>
      </c>
      <c r="AD23" s="26">
        <v>20</v>
      </c>
      <c r="AE23" s="26">
        <f>G23*0</f>
        <v>0</v>
      </c>
      <c r="AF23" s="26">
        <f>G23*(1-0)</f>
        <v>0</v>
      </c>
    </row>
    <row r="24" spans="1:32" ht="12.75">
      <c r="A24" s="4" t="s">
        <v>17</v>
      </c>
      <c r="B24" s="4"/>
      <c r="C24" s="4" t="s">
        <v>70</v>
      </c>
      <c r="D24" s="4" t="s">
        <v>131</v>
      </c>
      <c r="E24" s="4" t="s">
        <v>196</v>
      </c>
      <c r="F24" s="13">
        <v>63.5</v>
      </c>
      <c r="H24" s="13">
        <f t="shared" si="0"/>
        <v>0</v>
      </c>
      <c r="I24" s="13">
        <f t="shared" si="1"/>
        <v>0</v>
      </c>
      <c r="J24" s="13">
        <f t="shared" si="2"/>
        <v>0</v>
      </c>
      <c r="K24" s="13">
        <v>0.076</v>
      </c>
      <c r="L24" s="13">
        <f t="shared" si="3"/>
        <v>4.826</v>
      </c>
      <c r="N24" s="25" t="s">
        <v>7</v>
      </c>
      <c r="O24" s="13">
        <f t="shared" si="4"/>
        <v>0</v>
      </c>
      <c r="Z24" s="13">
        <f t="shared" si="5"/>
        <v>0</v>
      </c>
      <c r="AA24" s="13">
        <f t="shared" si="6"/>
        <v>0</v>
      </c>
      <c r="AB24" s="13">
        <f t="shared" si="7"/>
        <v>0</v>
      </c>
      <c r="AD24" s="26">
        <v>20</v>
      </c>
      <c r="AE24" s="26">
        <f>G24*0.266381548446917</f>
        <v>0</v>
      </c>
      <c r="AF24" s="26">
        <f>G24*(1-0.266381548446917)</f>
        <v>0</v>
      </c>
    </row>
    <row r="25" spans="1:32" ht="12.75">
      <c r="A25" s="4" t="s">
        <v>18</v>
      </c>
      <c r="B25" s="4"/>
      <c r="C25" s="4" t="s">
        <v>71</v>
      </c>
      <c r="D25" s="4" t="s">
        <v>132</v>
      </c>
      <c r="E25" s="4" t="s">
        <v>197</v>
      </c>
      <c r="F25" s="13">
        <v>70</v>
      </c>
      <c r="H25" s="13">
        <f t="shared" si="0"/>
        <v>0</v>
      </c>
      <c r="I25" s="13">
        <f t="shared" si="1"/>
        <v>0</v>
      </c>
      <c r="J25" s="13">
        <f t="shared" si="2"/>
        <v>0</v>
      </c>
      <c r="K25" s="13">
        <v>0</v>
      </c>
      <c r="L25" s="13">
        <f t="shared" si="3"/>
        <v>0</v>
      </c>
      <c r="N25" s="25" t="s">
        <v>7</v>
      </c>
      <c r="O25" s="13">
        <f t="shared" si="4"/>
        <v>0</v>
      </c>
      <c r="Z25" s="13">
        <f t="shared" si="5"/>
        <v>0</v>
      </c>
      <c r="AA25" s="13">
        <f t="shared" si="6"/>
        <v>0</v>
      </c>
      <c r="AB25" s="13">
        <f t="shared" si="7"/>
        <v>0</v>
      </c>
      <c r="AD25" s="26">
        <v>20</v>
      </c>
      <c r="AE25" s="26">
        <f>G25*0.00672645739910314</f>
        <v>0</v>
      </c>
      <c r="AF25" s="26">
        <f>G25*(1-0.00672645739910314)</f>
        <v>0</v>
      </c>
    </row>
    <row r="26" spans="1:32" ht="12.75">
      <c r="A26" s="4" t="s">
        <v>19</v>
      </c>
      <c r="B26" s="4"/>
      <c r="C26" s="4" t="s">
        <v>72</v>
      </c>
      <c r="D26" s="4" t="s">
        <v>133</v>
      </c>
      <c r="E26" s="4" t="s">
        <v>196</v>
      </c>
      <c r="F26" s="13">
        <v>13</v>
      </c>
      <c r="H26" s="13">
        <f t="shared" si="0"/>
        <v>0</v>
      </c>
      <c r="I26" s="13">
        <f t="shared" si="1"/>
        <v>0</v>
      </c>
      <c r="J26" s="13">
        <f t="shared" si="2"/>
        <v>0</v>
      </c>
      <c r="K26" s="13">
        <v>0.011</v>
      </c>
      <c r="L26" s="13">
        <f t="shared" si="3"/>
        <v>0.143</v>
      </c>
      <c r="N26" s="25" t="s">
        <v>7</v>
      </c>
      <c r="O26" s="13">
        <f t="shared" si="4"/>
        <v>0</v>
      </c>
      <c r="Z26" s="13">
        <f t="shared" si="5"/>
        <v>0</v>
      </c>
      <c r="AA26" s="13">
        <f t="shared" si="6"/>
        <v>0</v>
      </c>
      <c r="AB26" s="13">
        <f t="shared" si="7"/>
        <v>0</v>
      </c>
      <c r="AD26" s="26">
        <v>20</v>
      </c>
      <c r="AE26" s="26">
        <f>G26*0.350919190989166</f>
        <v>0</v>
      </c>
      <c r="AF26" s="26">
        <f>G26*(1-0.350919190989166)</f>
        <v>0</v>
      </c>
    </row>
    <row r="27" spans="1:37" ht="12.75">
      <c r="A27" s="5"/>
      <c r="B27" s="5"/>
      <c r="C27" s="11" t="s">
        <v>18</v>
      </c>
      <c r="D27" s="42" t="s">
        <v>134</v>
      </c>
      <c r="E27" s="43"/>
      <c r="F27" s="43"/>
      <c r="G27" s="43"/>
      <c r="H27" s="28">
        <f>SUM(H28:H29)</f>
        <v>0</v>
      </c>
      <c r="I27" s="28">
        <f>SUM(I28:I29)</f>
        <v>0</v>
      </c>
      <c r="J27" s="28">
        <f>H27+I27</f>
        <v>0</v>
      </c>
      <c r="K27" s="22"/>
      <c r="L27" s="28">
        <f>SUM(L28:L29)</f>
        <v>0</v>
      </c>
      <c r="P27" s="28">
        <f>IF(Q27="PR",J27,SUM(O28:O29))</f>
        <v>0</v>
      </c>
      <c r="Q27" s="22" t="s">
        <v>218</v>
      </c>
      <c r="R27" s="28">
        <f>IF(Q27="HS",H27,0)</f>
        <v>0</v>
      </c>
      <c r="S27" s="28">
        <f>IF(Q27="HS",I27-P27,0)</f>
        <v>0</v>
      </c>
      <c r="T27" s="28">
        <f>IF(Q27="PS",H27,0)</f>
        <v>0</v>
      </c>
      <c r="U27" s="28">
        <f>IF(Q27="PS",I27-P27,0)</f>
        <v>0</v>
      </c>
      <c r="V27" s="28">
        <f>IF(Q27="MP",H27,0)</f>
        <v>0</v>
      </c>
      <c r="W27" s="28">
        <f>IF(Q27="MP",I27-P27,0)</f>
        <v>0</v>
      </c>
      <c r="X27" s="28">
        <f>IF(Q27="OM",H27,0)</f>
        <v>0</v>
      </c>
      <c r="Y27" s="22"/>
      <c r="AI27" s="28">
        <f>SUM(Z28:Z29)</f>
        <v>0</v>
      </c>
      <c r="AJ27" s="28">
        <f>SUM(AA28:AA29)</f>
        <v>0</v>
      </c>
      <c r="AK27" s="28">
        <f>SUM(AB28:AB29)</f>
        <v>0</v>
      </c>
    </row>
    <row r="28" spans="1:32" ht="12.75">
      <c r="A28" s="4" t="s">
        <v>20</v>
      </c>
      <c r="B28" s="4"/>
      <c r="C28" s="4" t="s">
        <v>73</v>
      </c>
      <c r="D28" s="4" t="s">
        <v>135</v>
      </c>
      <c r="E28" s="4" t="s">
        <v>198</v>
      </c>
      <c r="F28" s="13">
        <v>5</v>
      </c>
      <c r="H28" s="13">
        <f>ROUND(F28*AE28,2)</f>
        <v>0</v>
      </c>
      <c r="I28" s="13">
        <f>J28-H28</f>
        <v>0</v>
      </c>
      <c r="J28" s="13">
        <f>ROUND(F28*G28,2)</f>
        <v>0</v>
      </c>
      <c r="K28" s="13">
        <v>0</v>
      </c>
      <c r="L28" s="13">
        <f>F28*K28</f>
        <v>0</v>
      </c>
      <c r="N28" s="25" t="s">
        <v>7</v>
      </c>
      <c r="O28" s="13">
        <f>IF(N28="5",I28,0)</f>
        <v>0</v>
      </c>
      <c r="Z28" s="13">
        <f>IF(AD28=0,J28,0)</f>
        <v>0</v>
      </c>
      <c r="AA28" s="13">
        <f>IF(AD28=14,J28,0)</f>
        <v>0</v>
      </c>
      <c r="AB28" s="13">
        <f>IF(AD28=20,J28,0)</f>
        <v>0</v>
      </c>
      <c r="AD28" s="26">
        <v>20</v>
      </c>
      <c r="AE28" s="26">
        <f>G28*0</f>
        <v>0</v>
      </c>
      <c r="AF28" s="26">
        <f>G28*(1-0)</f>
        <v>0</v>
      </c>
    </row>
    <row r="29" spans="1:32" ht="12.75">
      <c r="A29" s="4" t="s">
        <v>21</v>
      </c>
      <c r="B29" s="4"/>
      <c r="C29" s="4" t="s">
        <v>74</v>
      </c>
      <c r="D29" s="4" t="s">
        <v>136</v>
      </c>
      <c r="E29" s="4" t="s">
        <v>198</v>
      </c>
      <c r="F29" s="13">
        <v>55</v>
      </c>
      <c r="H29" s="13">
        <f>ROUND(F29*AE29,2)</f>
        <v>0</v>
      </c>
      <c r="I29" s="13">
        <f>J29-H29</f>
        <v>0</v>
      </c>
      <c r="J29" s="13">
        <f>ROUND(F29*G29,2)</f>
        <v>0</v>
      </c>
      <c r="K29" s="13">
        <v>0</v>
      </c>
      <c r="L29" s="13">
        <f>F29*K29</f>
        <v>0</v>
      </c>
      <c r="N29" s="25" t="s">
        <v>7</v>
      </c>
      <c r="O29" s="13">
        <f>IF(N29="5",I29,0)</f>
        <v>0</v>
      </c>
      <c r="Z29" s="13">
        <f>IF(AD29=0,J29,0)</f>
        <v>0</v>
      </c>
      <c r="AA29" s="13">
        <f>IF(AD29=14,J29,0)</f>
        <v>0</v>
      </c>
      <c r="AB29" s="13">
        <f>IF(AD29=20,J29,0)</f>
        <v>0</v>
      </c>
      <c r="AD29" s="26">
        <v>20</v>
      </c>
      <c r="AE29" s="26">
        <f>G29*0</f>
        <v>0</v>
      </c>
      <c r="AF29" s="26">
        <f>G29*(1-0)</f>
        <v>0</v>
      </c>
    </row>
    <row r="30" spans="1:37" ht="12.75">
      <c r="A30" s="5"/>
      <c r="B30" s="5"/>
      <c r="C30" s="11" t="s">
        <v>21</v>
      </c>
      <c r="D30" s="42" t="s">
        <v>137</v>
      </c>
      <c r="E30" s="43"/>
      <c r="F30" s="43"/>
      <c r="G30" s="43"/>
      <c r="H30" s="28">
        <f>SUM(H31:H32)</f>
        <v>0</v>
      </c>
      <c r="I30" s="28">
        <f>SUM(I31:I32)</f>
        <v>0</v>
      </c>
      <c r="J30" s="28">
        <f>H30+I30</f>
        <v>0</v>
      </c>
      <c r="K30" s="22"/>
      <c r="L30" s="28">
        <f>SUM(L31:L32)</f>
        <v>0.1089</v>
      </c>
      <c r="P30" s="28">
        <f>IF(Q30="PR",J30,SUM(O31:O32))</f>
        <v>0</v>
      </c>
      <c r="Q30" s="22" t="s">
        <v>218</v>
      </c>
      <c r="R30" s="28">
        <f>IF(Q30="HS",H30,0)</f>
        <v>0</v>
      </c>
      <c r="S30" s="28">
        <f>IF(Q30="HS",I30-P30,0)</f>
        <v>0</v>
      </c>
      <c r="T30" s="28">
        <f>IF(Q30="PS",H30,0)</f>
        <v>0</v>
      </c>
      <c r="U30" s="28">
        <f>IF(Q30="PS",I30-P30,0)</f>
        <v>0</v>
      </c>
      <c r="V30" s="28">
        <f>IF(Q30="MP",H30,0)</f>
        <v>0</v>
      </c>
      <c r="W30" s="28">
        <f>IF(Q30="MP",I30-P30,0)</f>
        <v>0</v>
      </c>
      <c r="X30" s="28">
        <f>IF(Q30="OM",H30,0)</f>
        <v>0</v>
      </c>
      <c r="Y30" s="22"/>
      <c r="AI30" s="28">
        <f>SUM(Z31:Z32)</f>
        <v>0</v>
      </c>
      <c r="AJ30" s="28">
        <f>SUM(AA31:AA32)</f>
        <v>0</v>
      </c>
      <c r="AK30" s="28">
        <f>SUM(AB31:AB32)</f>
        <v>0</v>
      </c>
    </row>
    <row r="31" spans="1:32" ht="12.75">
      <c r="A31" s="4" t="s">
        <v>22</v>
      </c>
      <c r="B31" s="4"/>
      <c r="C31" s="4" t="s">
        <v>75</v>
      </c>
      <c r="D31" s="4" t="s">
        <v>138</v>
      </c>
      <c r="E31" s="4" t="s">
        <v>194</v>
      </c>
      <c r="F31" s="13">
        <v>110</v>
      </c>
      <c r="H31" s="13">
        <f>ROUND(F31*AE31,2)</f>
        <v>0</v>
      </c>
      <c r="I31" s="13">
        <f>J31-H31</f>
        <v>0</v>
      </c>
      <c r="J31" s="13">
        <f>ROUND(F31*G31,2)</f>
        <v>0</v>
      </c>
      <c r="K31" s="13">
        <v>0.00099</v>
      </c>
      <c r="L31" s="13">
        <f>F31*K31</f>
        <v>0.1089</v>
      </c>
      <c r="N31" s="25" t="s">
        <v>7</v>
      </c>
      <c r="O31" s="13">
        <f>IF(N31="5",I31,0)</f>
        <v>0</v>
      </c>
      <c r="Z31" s="13">
        <f>IF(AD31=0,J31,0)</f>
        <v>0</v>
      </c>
      <c r="AA31" s="13">
        <f>IF(AD31=14,J31,0)</f>
        <v>0</v>
      </c>
      <c r="AB31" s="13">
        <f>IF(AD31=20,J31,0)</f>
        <v>0</v>
      </c>
      <c r="AD31" s="26">
        <v>20</v>
      </c>
      <c r="AE31" s="26">
        <f>G31*0.111544640807895</f>
        <v>0</v>
      </c>
      <c r="AF31" s="26">
        <f>G31*(1-0.111544640807895)</f>
        <v>0</v>
      </c>
    </row>
    <row r="32" spans="1:32" ht="12.75">
      <c r="A32" s="4" t="s">
        <v>23</v>
      </c>
      <c r="B32" s="4"/>
      <c r="C32" s="4" t="s">
        <v>76</v>
      </c>
      <c r="D32" s="4" t="s">
        <v>139</v>
      </c>
      <c r="E32" s="4" t="s">
        <v>194</v>
      </c>
      <c r="F32" s="13">
        <v>110</v>
      </c>
      <c r="H32" s="13">
        <f>ROUND(F32*AE32,2)</f>
        <v>0</v>
      </c>
      <c r="I32" s="13">
        <f>J32-H32</f>
        <v>0</v>
      </c>
      <c r="J32" s="13">
        <f>ROUND(F32*G32,2)</f>
        <v>0</v>
      </c>
      <c r="K32" s="13">
        <v>0</v>
      </c>
      <c r="L32" s="13">
        <f>F32*K32</f>
        <v>0</v>
      </c>
      <c r="N32" s="25" t="s">
        <v>7</v>
      </c>
      <c r="O32" s="13">
        <f>IF(N32="5",I32,0)</f>
        <v>0</v>
      </c>
      <c r="Z32" s="13">
        <f>IF(AD32=0,J32,0)</f>
        <v>0</v>
      </c>
      <c r="AA32" s="13">
        <f>IF(AD32=14,J32,0)</f>
        <v>0</v>
      </c>
      <c r="AB32" s="13">
        <f>IF(AD32=20,J32,0)</f>
        <v>0</v>
      </c>
      <c r="AD32" s="26">
        <v>20</v>
      </c>
      <c r="AE32" s="26">
        <f>G32*0</f>
        <v>0</v>
      </c>
      <c r="AF32" s="26">
        <f>G32*(1-0)</f>
        <v>0</v>
      </c>
    </row>
    <row r="33" spans="1:37" ht="12.75">
      <c r="A33" s="5"/>
      <c r="B33" s="5"/>
      <c r="C33" s="11" t="s">
        <v>22</v>
      </c>
      <c r="D33" s="42" t="s">
        <v>140</v>
      </c>
      <c r="E33" s="43"/>
      <c r="F33" s="43"/>
      <c r="G33" s="43"/>
      <c r="H33" s="28">
        <f>SUM(H34:H37)</f>
        <v>0</v>
      </c>
      <c r="I33" s="28">
        <f>SUM(I34:I37)</f>
        <v>0</v>
      </c>
      <c r="J33" s="28">
        <f>H33+I33</f>
        <v>0</v>
      </c>
      <c r="K33" s="22"/>
      <c r="L33" s="28">
        <f>SUM(L34:L37)</f>
        <v>0</v>
      </c>
      <c r="P33" s="28">
        <f>IF(Q33="PR",J33,SUM(O34:O37))</f>
        <v>0</v>
      </c>
      <c r="Q33" s="22" t="s">
        <v>218</v>
      </c>
      <c r="R33" s="28">
        <f>IF(Q33="HS",H33,0)</f>
        <v>0</v>
      </c>
      <c r="S33" s="28">
        <f>IF(Q33="HS",I33-P33,0)</f>
        <v>0</v>
      </c>
      <c r="T33" s="28">
        <f>IF(Q33="PS",H33,0)</f>
        <v>0</v>
      </c>
      <c r="U33" s="28">
        <f>IF(Q33="PS",I33-P33,0)</f>
        <v>0</v>
      </c>
      <c r="V33" s="28">
        <f>IF(Q33="MP",H33,0)</f>
        <v>0</v>
      </c>
      <c r="W33" s="28">
        <f>IF(Q33="MP",I33-P33,0)</f>
        <v>0</v>
      </c>
      <c r="X33" s="28">
        <f>IF(Q33="OM",H33,0)</f>
        <v>0</v>
      </c>
      <c r="Y33" s="22"/>
      <c r="AI33" s="28">
        <f>SUM(Z34:Z37)</f>
        <v>0</v>
      </c>
      <c r="AJ33" s="28">
        <f>SUM(AA34:AA37)</f>
        <v>0</v>
      </c>
      <c r="AK33" s="28">
        <f>SUM(AB34:AB37)</f>
        <v>0</v>
      </c>
    </row>
    <row r="34" spans="1:32" ht="12.75">
      <c r="A34" s="4" t="s">
        <v>24</v>
      </c>
      <c r="B34" s="4"/>
      <c r="C34" s="4" t="s">
        <v>77</v>
      </c>
      <c r="D34" s="4" t="s">
        <v>141</v>
      </c>
      <c r="E34" s="4" t="s">
        <v>198</v>
      </c>
      <c r="F34" s="13">
        <v>55</v>
      </c>
      <c r="H34" s="13">
        <f>ROUND(F34*AE34,2)</f>
        <v>0</v>
      </c>
      <c r="I34" s="13">
        <f>J34-H34</f>
        <v>0</v>
      </c>
      <c r="J34" s="13">
        <f>ROUND(F34*G34,2)</f>
        <v>0</v>
      </c>
      <c r="K34" s="13">
        <v>0</v>
      </c>
      <c r="L34" s="13">
        <f>F34*K34</f>
        <v>0</v>
      </c>
      <c r="N34" s="25" t="s">
        <v>7</v>
      </c>
      <c r="O34" s="13">
        <f>IF(N34="5",I34,0)</f>
        <v>0</v>
      </c>
      <c r="Z34" s="13">
        <f>IF(AD34=0,J34,0)</f>
        <v>0</v>
      </c>
      <c r="AA34" s="13">
        <f>IF(AD34=14,J34,0)</f>
        <v>0</v>
      </c>
      <c r="AB34" s="13">
        <f>IF(AD34=20,J34,0)</f>
        <v>0</v>
      </c>
      <c r="AD34" s="26">
        <v>20</v>
      </c>
      <c r="AE34" s="26">
        <f>G34*0</f>
        <v>0</v>
      </c>
      <c r="AF34" s="26">
        <f>G34*(1-0)</f>
        <v>0</v>
      </c>
    </row>
    <row r="35" spans="1:32" ht="12.75">
      <c r="A35" s="4" t="s">
        <v>25</v>
      </c>
      <c r="B35" s="4"/>
      <c r="C35" s="4" t="s">
        <v>78</v>
      </c>
      <c r="D35" s="4" t="s">
        <v>142</v>
      </c>
      <c r="E35" s="4" t="s">
        <v>194</v>
      </c>
      <c r="F35" s="13">
        <v>16</v>
      </c>
      <c r="H35" s="13">
        <f>ROUND(F35*AE35,2)</f>
        <v>0</v>
      </c>
      <c r="I35" s="13">
        <f>J35-H35</f>
        <v>0</v>
      </c>
      <c r="J35" s="13">
        <f>ROUND(F35*G35,2)</f>
        <v>0</v>
      </c>
      <c r="K35" s="13">
        <v>0</v>
      </c>
      <c r="L35" s="13">
        <f>F35*K35</f>
        <v>0</v>
      </c>
      <c r="N35" s="25" t="s">
        <v>7</v>
      </c>
      <c r="O35" s="13">
        <f>IF(N35="5",I35,0)</f>
        <v>0</v>
      </c>
      <c r="Z35" s="13">
        <f>IF(AD35=0,J35,0)</f>
        <v>0</v>
      </c>
      <c r="AA35" s="13">
        <f>IF(AD35=14,J35,0)</f>
        <v>0</v>
      </c>
      <c r="AB35" s="13">
        <f>IF(AD35=20,J35,0)</f>
        <v>0</v>
      </c>
      <c r="AD35" s="26">
        <v>20</v>
      </c>
      <c r="AE35" s="26">
        <f>G35*0</f>
        <v>0</v>
      </c>
      <c r="AF35" s="26">
        <f>G35*(1-0)</f>
        <v>0</v>
      </c>
    </row>
    <row r="36" spans="1:32" ht="12.75">
      <c r="A36" s="4" t="s">
        <v>26</v>
      </c>
      <c r="B36" s="4"/>
      <c r="C36" s="4" t="s">
        <v>79</v>
      </c>
      <c r="D36" s="4" t="s">
        <v>143</v>
      </c>
      <c r="E36" s="4" t="s">
        <v>198</v>
      </c>
      <c r="F36" s="13">
        <v>55</v>
      </c>
      <c r="H36" s="13">
        <f>ROUND(F36*AE36,2)</f>
        <v>0</v>
      </c>
      <c r="I36" s="13">
        <f>J36-H36</f>
        <v>0</v>
      </c>
      <c r="J36" s="13">
        <f>ROUND(F36*G36,2)</f>
        <v>0</v>
      </c>
      <c r="K36" s="13">
        <v>0</v>
      </c>
      <c r="L36" s="13">
        <f>F36*K36</f>
        <v>0</v>
      </c>
      <c r="N36" s="25" t="s">
        <v>7</v>
      </c>
      <c r="O36" s="13">
        <f>IF(N36="5",I36,0)</f>
        <v>0</v>
      </c>
      <c r="Z36" s="13">
        <f>IF(AD36=0,J36,0)</f>
        <v>0</v>
      </c>
      <c r="AA36" s="13">
        <f>IF(AD36=14,J36,0)</f>
        <v>0</v>
      </c>
      <c r="AB36" s="13">
        <f>IF(AD36=20,J36,0)</f>
        <v>0</v>
      </c>
      <c r="AD36" s="26">
        <v>20</v>
      </c>
      <c r="AE36" s="26">
        <f>G36*0</f>
        <v>0</v>
      </c>
      <c r="AF36" s="26">
        <f>G36*(1-0)</f>
        <v>0</v>
      </c>
    </row>
    <row r="37" spans="1:32" ht="12.75">
      <c r="A37" s="4" t="s">
        <v>27</v>
      </c>
      <c r="B37" s="4"/>
      <c r="C37" s="4" t="s">
        <v>80</v>
      </c>
      <c r="D37" s="4" t="s">
        <v>144</v>
      </c>
      <c r="E37" s="4" t="s">
        <v>198</v>
      </c>
      <c r="F37" s="13">
        <v>55</v>
      </c>
      <c r="H37" s="13">
        <f>ROUND(F37*AE37,2)</f>
        <v>0</v>
      </c>
      <c r="I37" s="13">
        <f>J37-H37</f>
        <v>0</v>
      </c>
      <c r="J37" s="13">
        <f>ROUND(F37*G37,2)</f>
        <v>0</v>
      </c>
      <c r="K37" s="13">
        <v>0</v>
      </c>
      <c r="L37" s="13">
        <f>F37*K37</f>
        <v>0</v>
      </c>
      <c r="N37" s="25" t="s">
        <v>7</v>
      </c>
      <c r="O37" s="13">
        <f>IF(N37="5",I37,0)</f>
        <v>0</v>
      </c>
      <c r="Z37" s="13">
        <f>IF(AD37=0,J37,0)</f>
        <v>0</v>
      </c>
      <c r="AA37" s="13">
        <f>IF(AD37=14,J37,0)</f>
        <v>0</v>
      </c>
      <c r="AB37" s="13">
        <f>IF(AD37=20,J37,0)</f>
        <v>0</v>
      </c>
      <c r="AD37" s="26">
        <v>20</v>
      </c>
      <c r="AE37" s="26">
        <f>G37*0</f>
        <v>0</v>
      </c>
      <c r="AF37" s="26">
        <f>G37*(1-0)</f>
        <v>0</v>
      </c>
    </row>
    <row r="38" spans="1:37" ht="12.75">
      <c r="A38" s="5"/>
      <c r="B38" s="5"/>
      <c r="C38" s="11" t="s">
        <v>23</v>
      </c>
      <c r="D38" s="42" t="s">
        <v>145</v>
      </c>
      <c r="E38" s="43"/>
      <c r="F38" s="43"/>
      <c r="G38" s="43"/>
      <c r="H38" s="28">
        <f>SUM(H39:H39)</f>
        <v>0</v>
      </c>
      <c r="I38" s="28">
        <f>SUM(I39:I39)</f>
        <v>0</v>
      </c>
      <c r="J38" s="28">
        <f>H38+I38</f>
        <v>0</v>
      </c>
      <c r="K38" s="22"/>
      <c r="L38" s="28">
        <f>SUM(L39:L39)</f>
        <v>0</v>
      </c>
      <c r="P38" s="28">
        <f>IF(Q38="PR",J38,SUM(O39:O39))</f>
        <v>0</v>
      </c>
      <c r="Q38" s="22" t="s">
        <v>218</v>
      </c>
      <c r="R38" s="28">
        <f>IF(Q38="HS",H38,0)</f>
        <v>0</v>
      </c>
      <c r="S38" s="28">
        <f>IF(Q38="HS",I38-P38,0)</f>
        <v>0</v>
      </c>
      <c r="T38" s="28">
        <f>IF(Q38="PS",H38,0)</f>
        <v>0</v>
      </c>
      <c r="U38" s="28">
        <f>IF(Q38="PS",I38-P38,0)</f>
        <v>0</v>
      </c>
      <c r="V38" s="28">
        <f>IF(Q38="MP",H38,0)</f>
        <v>0</v>
      </c>
      <c r="W38" s="28">
        <f>IF(Q38="MP",I38-P38,0)</f>
        <v>0</v>
      </c>
      <c r="X38" s="28">
        <f>IF(Q38="OM",H38,0)</f>
        <v>0</v>
      </c>
      <c r="Y38" s="22"/>
      <c r="AI38" s="28">
        <f>SUM(Z39:Z39)</f>
        <v>0</v>
      </c>
      <c r="AJ38" s="28">
        <f>SUM(AA39:AA39)</f>
        <v>0</v>
      </c>
      <c r="AK38" s="28">
        <f>SUM(AB39:AB39)</f>
        <v>0</v>
      </c>
    </row>
    <row r="39" spans="1:32" ht="12.75">
      <c r="A39" s="4" t="s">
        <v>28</v>
      </c>
      <c r="B39" s="4"/>
      <c r="C39" s="4" t="s">
        <v>81</v>
      </c>
      <c r="D39" s="4" t="s">
        <v>146</v>
      </c>
      <c r="E39" s="4" t="s">
        <v>198</v>
      </c>
      <c r="F39" s="13">
        <v>55</v>
      </c>
      <c r="H39" s="13">
        <f>ROUND(F39*AE39,2)</f>
        <v>0</v>
      </c>
      <c r="I39" s="13">
        <f>J39-H39</f>
        <v>0</v>
      </c>
      <c r="J39" s="13">
        <f>ROUND(F39*G39,2)</f>
        <v>0</v>
      </c>
      <c r="K39" s="13">
        <v>0</v>
      </c>
      <c r="L39" s="13">
        <f>F39*K39</f>
        <v>0</v>
      </c>
      <c r="N39" s="25" t="s">
        <v>7</v>
      </c>
      <c r="O39" s="13">
        <f>IF(N39="5",I39,0)</f>
        <v>0</v>
      </c>
      <c r="Z39" s="13">
        <f>IF(AD39=0,J39,0)</f>
        <v>0</v>
      </c>
      <c r="AA39" s="13">
        <f>IF(AD39=14,J39,0)</f>
        <v>0</v>
      </c>
      <c r="AB39" s="13">
        <f>IF(AD39=20,J39,0)</f>
        <v>0</v>
      </c>
      <c r="AD39" s="26">
        <v>20</v>
      </c>
      <c r="AE39" s="26">
        <f>G39*0</f>
        <v>0</v>
      </c>
      <c r="AF39" s="26">
        <f>G39*(1-0)</f>
        <v>0</v>
      </c>
    </row>
    <row r="40" spans="1:37" ht="12.75">
      <c r="A40" s="5"/>
      <c r="B40" s="5"/>
      <c r="C40" s="11" t="s">
        <v>24</v>
      </c>
      <c r="D40" s="42" t="s">
        <v>147</v>
      </c>
      <c r="E40" s="43"/>
      <c r="F40" s="43"/>
      <c r="G40" s="43"/>
      <c r="H40" s="28">
        <f>SUM(H41:H43)</f>
        <v>0</v>
      </c>
      <c r="I40" s="28">
        <f>SUM(I41:I43)</f>
        <v>0</v>
      </c>
      <c r="J40" s="28">
        <f>H40+I40</f>
        <v>0</v>
      </c>
      <c r="K40" s="22"/>
      <c r="L40" s="28">
        <f>SUM(L41:L43)</f>
        <v>0.08099999999999999</v>
      </c>
      <c r="P40" s="28">
        <f>IF(Q40="PR",J40,SUM(O41:O43))</f>
        <v>0</v>
      </c>
      <c r="Q40" s="22" t="s">
        <v>218</v>
      </c>
      <c r="R40" s="28">
        <f>IF(Q40="HS",H40,0)</f>
        <v>0</v>
      </c>
      <c r="S40" s="28">
        <f>IF(Q40="HS",I40-P40,0)</f>
        <v>0</v>
      </c>
      <c r="T40" s="28">
        <f>IF(Q40="PS",H40,0)</f>
        <v>0</v>
      </c>
      <c r="U40" s="28">
        <f>IF(Q40="PS",I40-P40,0)</f>
        <v>0</v>
      </c>
      <c r="V40" s="28">
        <f>IF(Q40="MP",H40,0)</f>
        <v>0</v>
      </c>
      <c r="W40" s="28">
        <f>IF(Q40="MP",I40-P40,0)</f>
        <v>0</v>
      </c>
      <c r="X40" s="28">
        <f>IF(Q40="OM",H40,0)</f>
        <v>0</v>
      </c>
      <c r="Y40" s="22"/>
      <c r="AI40" s="28">
        <f>SUM(Z41:Z43)</f>
        <v>0</v>
      </c>
      <c r="AJ40" s="28">
        <f>SUM(AA41:AA43)</f>
        <v>0</v>
      </c>
      <c r="AK40" s="28">
        <f>SUM(AB41:AB43)</f>
        <v>0</v>
      </c>
    </row>
    <row r="41" spans="1:32" ht="12.75">
      <c r="A41" s="4" t="s">
        <v>29</v>
      </c>
      <c r="B41" s="4"/>
      <c r="C41" s="4" t="s">
        <v>82</v>
      </c>
      <c r="D41" s="4" t="s">
        <v>148</v>
      </c>
      <c r="E41" s="4" t="s">
        <v>194</v>
      </c>
      <c r="F41" s="13">
        <v>72.75</v>
      </c>
      <c r="H41" s="13">
        <f>ROUND(F41*AE41,2)</f>
        <v>0</v>
      </c>
      <c r="I41" s="13">
        <f>J41-H41</f>
        <v>0</v>
      </c>
      <c r="J41" s="13">
        <f>ROUND(F41*G41,2)</f>
        <v>0</v>
      </c>
      <c r="K41" s="13">
        <v>0</v>
      </c>
      <c r="L41" s="13">
        <f>F41*K41</f>
        <v>0</v>
      </c>
      <c r="N41" s="25" t="s">
        <v>7</v>
      </c>
      <c r="O41" s="13">
        <f>IF(N41="5",I41,0)</f>
        <v>0</v>
      </c>
      <c r="Z41" s="13">
        <f>IF(AD41=0,J41,0)</f>
        <v>0</v>
      </c>
      <c r="AA41" s="13">
        <f>IF(AD41=14,J41,0)</f>
        <v>0</v>
      </c>
      <c r="AB41" s="13">
        <f>IF(AD41=20,J41,0)</f>
        <v>0</v>
      </c>
      <c r="AD41" s="26">
        <v>20</v>
      </c>
      <c r="AE41" s="26">
        <f>G41*0</f>
        <v>0</v>
      </c>
      <c r="AF41" s="26">
        <f>G41*(1-0)</f>
        <v>0</v>
      </c>
    </row>
    <row r="42" spans="1:32" ht="12.75">
      <c r="A42" s="4" t="s">
        <v>30</v>
      </c>
      <c r="B42" s="4"/>
      <c r="C42" s="4" t="s">
        <v>83</v>
      </c>
      <c r="D42" s="4" t="s">
        <v>149</v>
      </c>
      <c r="E42" s="4" t="s">
        <v>194</v>
      </c>
      <c r="F42" s="13">
        <v>9</v>
      </c>
      <c r="H42" s="13">
        <f>ROUND(F42*AE42,2)</f>
        <v>0</v>
      </c>
      <c r="I42" s="13">
        <f>J42-H42</f>
        <v>0</v>
      </c>
      <c r="J42" s="13">
        <f>ROUND(F42*G42,2)</f>
        <v>0</v>
      </c>
      <c r="K42" s="13">
        <v>0.009</v>
      </c>
      <c r="L42" s="13">
        <f>F42*K42</f>
        <v>0.08099999999999999</v>
      </c>
      <c r="N42" s="25" t="s">
        <v>7</v>
      </c>
      <c r="O42" s="13">
        <f>IF(N42="5",I42,0)</f>
        <v>0</v>
      </c>
      <c r="Z42" s="13">
        <f>IF(AD42=0,J42,0)</f>
        <v>0</v>
      </c>
      <c r="AA42" s="13">
        <f>IF(AD42=14,J42,0)</f>
        <v>0</v>
      </c>
      <c r="AB42" s="13">
        <f>IF(AD42=20,J42,0)</f>
        <v>0</v>
      </c>
      <c r="AD42" s="26">
        <v>20</v>
      </c>
      <c r="AE42" s="26">
        <f>G42*0.261423798509381</f>
        <v>0</v>
      </c>
      <c r="AF42" s="26">
        <f>G42*(1-0.261423798509381)</f>
        <v>0</v>
      </c>
    </row>
    <row r="43" spans="1:32" ht="12.75">
      <c r="A43" s="4" t="s">
        <v>31</v>
      </c>
      <c r="B43" s="4"/>
      <c r="C43" s="4" t="s">
        <v>84</v>
      </c>
      <c r="D43" s="4" t="s">
        <v>150</v>
      </c>
      <c r="E43" s="4" t="s">
        <v>194</v>
      </c>
      <c r="F43" s="13">
        <v>9</v>
      </c>
      <c r="H43" s="13">
        <f>ROUND(F43*AE43,2)</f>
        <v>0</v>
      </c>
      <c r="I43" s="13">
        <f>J43-H43</f>
        <v>0</v>
      </c>
      <c r="J43" s="13">
        <f>ROUND(F43*G43,2)</f>
        <v>0</v>
      </c>
      <c r="K43" s="13">
        <v>0</v>
      </c>
      <c r="L43" s="13">
        <f>F43*K43</f>
        <v>0</v>
      </c>
      <c r="N43" s="25" t="s">
        <v>7</v>
      </c>
      <c r="O43" s="13">
        <f>IF(N43="5",I43,0)</f>
        <v>0</v>
      </c>
      <c r="Z43" s="13">
        <f>IF(AD43=0,J43,0)</f>
        <v>0</v>
      </c>
      <c r="AA43" s="13">
        <f>IF(AD43=14,J43,0)</f>
        <v>0</v>
      </c>
      <c r="AB43" s="13">
        <f>IF(AD43=20,J43,0)</f>
        <v>0</v>
      </c>
      <c r="AD43" s="26">
        <v>20</v>
      </c>
      <c r="AE43" s="26">
        <f>G43*0</f>
        <v>0</v>
      </c>
      <c r="AF43" s="26">
        <f>G43*(1-0)</f>
        <v>0</v>
      </c>
    </row>
    <row r="44" spans="1:37" ht="12.75">
      <c r="A44" s="5"/>
      <c r="B44" s="5"/>
      <c r="C44" s="11" t="s">
        <v>27</v>
      </c>
      <c r="D44" s="42" t="s">
        <v>151</v>
      </c>
      <c r="E44" s="43"/>
      <c r="F44" s="43"/>
      <c r="G44" s="43"/>
      <c r="H44" s="28">
        <f>SUM(H45:H45)</f>
        <v>0</v>
      </c>
      <c r="I44" s="28">
        <f>SUM(I45:I45)</f>
        <v>0</v>
      </c>
      <c r="J44" s="28">
        <f>H44+I44</f>
        <v>0</v>
      </c>
      <c r="K44" s="22"/>
      <c r="L44" s="28">
        <f>SUM(L45:L45)</f>
        <v>0</v>
      </c>
      <c r="P44" s="28">
        <f>IF(Q44="PR",J44,SUM(O45:O45))</f>
        <v>0</v>
      </c>
      <c r="Q44" s="22" t="s">
        <v>218</v>
      </c>
      <c r="R44" s="28">
        <f>IF(Q44="HS",H44,0)</f>
        <v>0</v>
      </c>
      <c r="S44" s="28">
        <f>IF(Q44="HS",I44-P44,0)</f>
        <v>0</v>
      </c>
      <c r="T44" s="28">
        <f>IF(Q44="PS",H44,0)</f>
        <v>0</v>
      </c>
      <c r="U44" s="28">
        <f>IF(Q44="PS",I44-P44,0)</f>
        <v>0</v>
      </c>
      <c r="V44" s="28">
        <f>IF(Q44="MP",H44,0)</f>
        <v>0</v>
      </c>
      <c r="W44" s="28">
        <f>IF(Q44="MP",I44-P44,0)</f>
        <v>0</v>
      </c>
      <c r="X44" s="28">
        <f>IF(Q44="OM",H44,0)</f>
        <v>0</v>
      </c>
      <c r="Y44" s="22"/>
      <c r="AI44" s="28">
        <f>SUM(Z45:Z45)</f>
        <v>0</v>
      </c>
      <c r="AJ44" s="28">
        <f>SUM(AA45:AA45)</f>
        <v>0</v>
      </c>
      <c r="AK44" s="28">
        <f>SUM(AB45:AB45)</f>
        <v>0</v>
      </c>
    </row>
    <row r="45" spans="1:32" ht="12.75">
      <c r="A45" s="4" t="s">
        <v>32</v>
      </c>
      <c r="B45" s="4"/>
      <c r="C45" s="4" t="s">
        <v>85</v>
      </c>
      <c r="D45" s="4" t="s">
        <v>152</v>
      </c>
      <c r="E45" s="4" t="s">
        <v>194</v>
      </c>
      <c r="F45" s="13">
        <v>83.5</v>
      </c>
      <c r="H45" s="13">
        <f>ROUND(F45*AE45,2)</f>
        <v>0</v>
      </c>
      <c r="I45" s="13">
        <f>J45-H45</f>
        <v>0</v>
      </c>
      <c r="J45" s="13">
        <f>ROUND(F45*G45,2)</f>
        <v>0</v>
      </c>
      <c r="K45" s="13">
        <v>0</v>
      </c>
      <c r="L45" s="13">
        <f>F45*K45</f>
        <v>0</v>
      </c>
      <c r="N45" s="25" t="s">
        <v>7</v>
      </c>
      <c r="O45" s="13">
        <f>IF(N45="5",I45,0)</f>
        <v>0</v>
      </c>
      <c r="Z45" s="13">
        <f>IF(AD45=0,J45,0)</f>
        <v>0</v>
      </c>
      <c r="AA45" s="13">
        <f>IF(AD45=14,J45,0)</f>
        <v>0</v>
      </c>
      <c r="AB45" s="13">
        <f>IF(AD45=20,J45,0)</f>
        <v>0</v>
      </c>
      <c r="AD45" s="26">
        <v>20</v>
      </c>
      <c r="AE45" s="26">
        <f>G45*0</f>
        <v>0</v>
      </c>
      <c r="AF45" s="26">
        <f>G45*(1-0)</f>
        <v>0</v>
      </c>
    </row>
    <row r="46" spans="1:37" ht="12.75">
      <c r="A46" s="5"/>
      <c r="B46" s="5"/>
      <c r="C46" s="11" t="s">
        <v>33</v>
      </c>
      <c r="D46" s="42" t="s">
        <v>153</v>
      </c>
      <c r="E46" s="43"/>
      <c r="F46" s="43"/>
      <c r="G46" s="43"/>
      <c r="H46" s="28">
        <f>SUM(H47:H50)</f>
        <v>0</v>
      </c>
      <c r="I46" s="28">
        <f>SUM(I47:I50)</f>
        <v>0</v>
      </c>
      <c r="J46" s="28">
        <f>H46+I46</f>
        <v>0</v>
      </c>
      <c r="K46" s="22"/>
      <c r="L46" s="28">
        <f>SUM(L47:L50)</f>
        <v>126.16622929999998</v>
      </c>
      <c r="P46" s="28">
        <f>IF(Q46="PR",J46,SUM(O47:O50))</f>
        <v>0</v>
      </c>
      <c r="Q46" s="22" t="s">
        <v>218</v>
      </c>
      <c r="R46" s="28">
        <f>IF(Q46="HS",H46,0)</f>
        <v>0</v>
      </c>
      <c r="S46" s="28">
        <f>IF(Q46="HS",I46-P46,0)</f>
        <v>0</v>
      </c>
      <c r="T46" s="28">
        <f>IF(Q46="PS",H46,0)</f>
        <v>0</v>
      </c>
      <c r="U46" s="28">
        <f>IF(Q46="PS",I46-P46,0)</f>
        <v>0</v>
      </c>
      <c r="V46" s="28">
        <f>IF(Q46="MP",H46,0)</f>
        <v>0</v>
      </c>
      <c r="W46" s="28">
        <f>IF(Q46="MP",I46-P46,0)</f>
        <v>0</v>
      </c>
      <c r="X46" s="28">
        <f>IF(Q46="OM",H46,0)</f>
        <v>0</v>
      </c>
      <c r="Y46" s="22"/>
      <c r="AI46" s="28">
        <f>SUM(Z47:Z50)</f>
        <v>0</v>
      </c>
      <c r="AJ46" s="28">
        <f>SUM(AA47:AA50)</f>
        <v>0</v>
      </c>
      <c r="AK46" s="28">
        <f>SUM(AB47:AB50)</f>
        <v>0</v>
      </c>
    </row>
    <row r="47" spans="1:32" ht="12.75">
      <c r="A47" s="4" t="s">
        <v>33</v>
      </c>
      <c r="B47" s="4"/>
      <c r="C47" s="4" t="s">
        <v>86</v>
      </c>
      <c r="D47" s="4" t="s">
        <v>154</v>
      </c>
      <c r="E47" s="4" t="s">
        <v>198</v>
      </c>
      <c r="F47" s="13">
        <v>49.5</v>
      </c>
      <c r="H47" s="13">
        <f>ROUND(F47*AE47,2)</f>
        <v>0</v>
      </c>
      <c r="I47" s="13">
        <f>J47-H47</f>
        <v>0</v>
      </c>
      <c r="J47" s="13">
        <f>ROUND(F47*G47,2)</f>
        <v>0</v>
      </c>
      <c r="K47" s="13">
        <v>2.41693</v>
      </c>
      <c r="L47" s="13">
        <f>F47*K47</f>
        <v>119.63803499999999</v>
      </c>
      <c r="N47" s="25" t="s">
        <v>7</v>
      </c>
      <c r="O47" s="13">
        <f>IF(N47="5",I47,0)</f>
        <v>0</v>
      </c>
      <c r="Z47" s="13">
        <f>IF(AD47=0,J47,0)</f>
        <v>0</v>
      </c>
      <c r="AA47" s="13">
        <f>IF(AD47=14,J47,0)</f>
        <v>0</v>
      </c>
      <c r="AB47" s="13">
        <f>IF(AD47=20,J47,0)</f>
        <v>0</v>
      </c>
      <c r="AD47" s="26">
        <v>20</v>
      </c>
      <c r="AE47" s="26">
        <f>G47*0.915442755010939</f>
        <v>0</v>
      </c>
      <c r="AF47" s="26">
        <f>G47*(1-0.915442755010939)</f>
        <v>0</v>
      </c>
    </row>
    <row r="48" spans="1:32" ht="12.75">
      <c r="A48" s="4" t="s">
        <v>34</v>
      </c>
      <c r="B48" s="4"/>
      <c r="C48" s="4" t="s">
        <v>87</v>
      </c>
      <c r="D48" s="4" t="s">
        <v>155</v>
      </c>
      <c r="E48" s="4" t="s">
        <v>194</v>
      </c>
      <c r="F48" s="13">
        <v>140.8</v>
      </c>
      <c r="H48" s="13">
        <f>ROUND(F48*AE48,2)</f>
        <v>0</v>
      </c>
      <c r="I48" s="13">
        <f>J48-H48</f>
        <v>0</v>
      </c>
      <c r="J48" s="13">
        <f>ROUND(F48*G48,2)</f>
        <v>0</v>
      </c>
      <c r="K48" s="13">
        <v>0.0401</v>
      </c>
      <c r="L48" s="13">
        <f>F48*K48</f>
        <v>5.64608</v>
      </c>
      <c r="N48" s="25" t="s">
        <v>7</v>
      </c>
      <c r="O48" s="13">
        <f>IF(N48="5",I48,0)</f>
        <v>0</v>
      </c>
      <c r="Z48" s="13">
        <f>IF(AD48=0,J48,0)</f>
        <v>0</v>
      </c>
      <c r="AA48" s="13">
        <f>IF(AD48=14,J48,0)</f>
        <v>0</v>
      </c>
      <c r="AB48" s="13">
        <f>IF(AD48=20,J48,0)</f>
        <v>0</v>
      </c>
      <c r="AD48" s="26">
        <v>20</v>
      </c>
      <c r="AE48" s="26">
        <f>G48*0.383272058823529</f>
        <v>0</v>
      </c>
      <c r="AF48" s="26">
        <f>G48*(1-0.383272058823529)</f>
        <v>0</v>
      </c>
    </row>
    <row r="49" spans="1:32" ht="12.75">
      <c r="A49" s="4" t="s">
        <v>35</v>
      </c>
      <c r="B49" s="4"/>
      <c r="C49" s="4" t="s">
        <v>88</v>
      </c>
      <c r="D49" s="4" t="s">
        <v>156</v>
      </c>
      <c r="E49" s="4" t="s">
        <v>194</v>
      </c>
      <c r="F49" s="13">
        <v>148</v>
      </c>
      <c r="H49" s="13">
        <f>ROUND(F49*AE49,2)</f>
        <v>0</v>
      </c>
      <c r="I49" s="13">
        <f>J49-H49</f>
        <v>0</v>
      </c>
      <c r="J49" s="13">
        <f>ROUND(F49*G49,2)</f>
        <v>0</v>
      </c>
      <c r="K49" s="13">
        <v>0</v>
      </c>
      <c r="L49" s="13">
        <f>F49*K49</f>
        <v>0</v>
      </c>
      <c r="N49" s="25" t="s">
        <v>7</v>
      </c>
      <c r="O49" s="13">
        <f>IF(N49="5",I49,0)</f>
        <v>0</v>
      </c>
      <c r="Z49" s="13">
        <f>IF(AD49=0,J49,0)</f>
        <v>0</v>
      </c>
      <c r="AA49" s="13">
        <f>IF(AD49=14,J49,0)</f>
        <v>0</v>
      </c>
      <c r="AB49" s="13">
        <f>IF(AD49=20,J49,0)</f>
        <v>0</v>
      </c>
      <c r="AD49" s="26">
        <v>20</v>
      </c>
      <c r="AE49" s="26">
        <f>G49*0</f>
        <v>0</v>
      </c>
      <c r="AF49" s="26">
        <f>G49*(1-0)</f>
        <v>0</v>
      </c>
    </row>
    <row r="50" spans="1:32" ht="12.75">
      <c r="A50" s="4" t="s">
        <v>36</v>
      </c>
      <c r="B50" s="4"/>
      <c r="C50" s="4" t="s">
        <v>89</v>
      </c>
      <c r="D50" s="4" t="s">
        <v>157</v>
      </c>
      <c r="E50" s="4" t="s">
        <v>193</v>
      </c>
      <c r="F50" s="13">
        <v>0.837</v>
      </c>
      <c r="H50" s="13">
        <f>ROUND(F50*AE50,2)</f>
        <v>0</v>
      </c>
      <c r="I50" s="13">
        <f>J50-H50</f>
        <v>0</v>
      </c>
      <c r="J50" s="13">
        <f>ROUND(F50*G50,2)</f>
        <v>0</v>
      </c>
      <c r="K50" s="13">
        <v>1.0539</v>
      </c>
      <c r="L50" s="13">
        <f>F50*K50</f>
        <v>0.8821143</v>
      </c>
      <c r="N50" s="25" t="s">
        <v>7</v>
      </c>
      <c r="O50" s="13">
        <f>IF(N50="5",I50,0)</f>
        <v>0</v>
      </c>
      <c r="Z50" s="13">
        <f>IF(AD50=0,J50,0)</f>
        <v>0</v>
      </c>
      <c r="AA50" s="13">
        <f>IF(AD50=14,J50,0)</f>
        <v>0</v>
      </c>
      <c r="AB50" s="13">
        <f>IF(AD50=20,J50,0)</f>
        <v>0</v>
      </c>
      <c r="AD50" s="26">
        <v>20</v>
      </c>
      <c r="AE50" s="26">
        <f>G50*0</f>
        <v>0</v>
      </c>
      <c r="AF50" s="26">
        <f>G50*(1-0)</f>
        <v>0</v>
      </c>
    </row>
    <row r="51" spans="1:37" ht="12.75">
      <c r="A51" s="5"/>
      <c r="B51" s="5"/>
      <c r="C51" s="11" t="s">
        <v>34</v>
      </c>
      <c r="D51" s="42" t="s">
        <v>158</v>
      </c>
      <c r="E51" s="43"/>
      <c r="F51" s="43"/>
      <c r="G51" s="43"/>
      <c r="H51" s="28">
        <f>SUM(H52:H55)</f>
        <v>0</v>
      </c>
      <c r="I51" s="28">
        <f>SUM(I52:I55)</f>
        <v>0</v>
      </c>
      <c r="J51" s="28">
        <f>H51+I51</f>
        <v>0</v>
      </c>
      <c r="K51" s="22"/>
      <c r="L51" s="28">
        <f>SUM(L52:L55)</f>
        <v>0.42965</v>
      </c>
      <c r="P51" s="28">
        <f>IF(Q51="PR",J51,SUM(O52:O55))</f>
        <v>0</v>
      </c>
      <c r="Q51" s="22" t="s">
        <v>218</v>
      </c>
      <c r="R51" s="28">
        <f>IF(Q51="HS",H51,0)</f>
        <v>0</v>
      </c>
      <c r="S51" s="28">
        <f>IF(Q51="HS",I51-P51,0)</f>
        <v>0</v>
      </c>
      <c r="T51" s="28">
        <f>IF(Q51="PS",H51,0)</f>
        <v>0</v>
      </c>
      <c r="U51" s="28">
        <f>IF(Q51="PS",I51-P51,0)</f>
        <v>0</v>
      </c>
      <c r="V51" s="28">
        <f>IF(Q51="MP",H51,0)</f>
        <v>0</v>
      </c>
      <c r="W51" s="28">
        <f>IF(Q51="MP",I51-P51,0)</f>
        <v>0</v>
      </c>
      <c r="X51" s="28">
        <f>IF(Q51="OM",H51,0)</f>
        <v>0</v>
      </c>
      <c r="Y51" s="22"/>
      <c r="AI51" s="28">
        <f>SUM(Z52:Z55)</f>
        <v>0</v>
      </c>
      <c r="AJ51" s="28">
        <f>SUM(AA52:AA55)</f>
        <v>0</v>
      </c>
      <c r="AK51" s="28">
        <f>SUM(AB52:AB55)</f>
        <v>0</v>
      </c>
    </row>
    <row r="52" spans="1:32" ht="12.75">
      <c r="A52" s="4" t="s">
        <v>37</v>
      </c>
      <c r="B52" s="4"/>
      <c r="C52" s="4" t="s">
        <v>90</v>
      </c>
      <c r="D52" s="4" t="s">
        <v>159</v>
      </c>
      <c r="E52" s="4" t="s">
        <v>193</v>
      </c>
      <c r="F52" s="13">
        <v>0.1</v>
      </c>
      <c r="H52" s="13">
        <f>ROUND(F52*AE52,2)</f>
        <v>0</v>
      </c>
      <c r="I52" s="13">
        <f>J52-H52</f>
        <v>0</v>
      </c>
      <c r="J52" s="13">
        <f>ROUND(F52*G52,2)</f>
        <v>0</v>
      </c>
      <c r="K52" s="13">
        <v>1.061</v>
      </c>
      <c r="L52" s="13">
        <f>F52*K52</f>
        <v>0.1061</v>
      </c>
      <c r="N52" s="25" t="s">
        <v>7</v>
      </c>
      <c r="O52" s="13">
        <f>IF(N52="5",I52,0)</f>
        <v>0</v>
      </c>
      <c r="Z52" s="13">
        <f>IF(AD52=0,J52,0)</f>
        <v>0</v>
      </c>
      <c r="AA52" s="13">
        <f>IF(AD52=14,J52,0)</f>
        <v>0</v>
      </c>
      <c r="AB52" s="13">
        <f>IF(AD52=20,J52,0)</f>
        <v>0</v>
      </c>
      <c r="AD52" s="26">
        <v>20</v>
      </c>
      <c r="AE52" s="26">
        <f>G52*1</f>
        <v>0</v>
      </c>
      <c r="AF52" s="26">
        <f>G52*(1-1)</f>
        <v>0</v>
      </c>
    </row>
    <row r="53" spans="1:32" ht="12.75">
      <c r="A53" s="4" t="s">
        <v>38</v>
      </c>
      <c r="B53" s="4"/>
      <c r="C53" s="4" t="s">
        <v>91</v>
      </c>
      <c r="D53" s="4" t="s">
        <v>160</v>
      </c>
      <c r="E53" s="4" t="s">
        <v>196</v>
      </c>
      <c r="F53" s="13">
        <v>3</v>
      </c>
      <c r="H53" s="13">
        <f>ROUND(F53*AE53,2)</f>
        <v>0</v>
      </c>
      <c r="I53" s="13">
        <f>J53-H53</f>
        <v>0</v>
      </c>
      <c r="J53" s="13">
        <f>ROUND(F53*G53,2)</f>
        <v>0</v>
      </c>
      <c r="K53" s="13">
        <v>0.027</v>
      </c>
      <c r="L53" s="13">
        <f>F53*K53</f>
        <v>0.081</v>
      </c>
      <c r="N53" s="25" t="s">
        <v>7</v>
      </c>
      <c r="O53" s="13">
        <f>IF(N53="5",I53,0)</f>
        <v>0</v>
      </c>
      <c r="Z53" s="13">
        <f>IF(AD53=0,J53,0)</f>
        <v>0</v>
      </c>
      <c r="AA53" s="13">
        <f>IF(AD53=14,J53,0)</f>
        <v>0</v>
      </c>
      <c r="AB53" s="13">
        <f>IF(AD53=20,J53,0)</f>
        <v>0</v>
      </c>
      <c r="AD53" s="26">
        <v>20</v>
      </c>
      <c r="AE53" s="26">
        <f>G53*0.146652453773933</f>
        <v>0</v>
      </c>
      <c r="AF53" s="26">
        <f>G53*(1-0.146652453773933)</f>
        <v>0</v>
      </c>
    </row>
    <row r="54" spans="1:32" ht="12.75">
      <c r="A54" s="4" t="s">
        <v>39</v>
      </c>
      <c r="B54" s="4"/>
      <c r="C54" s="4" t="s">
        <v>92</v>
      </c>
      <c r="D54" s="4" t="s">
        <v>161</v>
      </c>
      <c r="E54" s="4" t="s">
        <v>198</v>
      </c>
      <c r="F54" s="13">
        <v>0.15</v>
      </c>
      <c r="H54" s="13">
        <f>ROUND(F54*AE54,2)</f>
        <v>0</v>
      </c>
      <c r="I54" s="13">
        <f>J54-H54</f>
        <v>0</v>
      </c>
      <c r="J54" s="13">
        <f>ROUND(F54*G54,2)</f>
        <v>0</v>
      </c>
      <c r="K54" s="13">
        <v>1.617</v>
      </c>
      <c r="L54" s="13">
        <f>F54*K54</f>
        <v>0.24255</v>
      </c>
      <c r="N54" s="25" t="s">
        <v>7</v>
      </c>
      <c r="O54" s="13">
        <f>IF(N54="5",I54,0)</f>
        <v>0</v>
      </c>
      <c r="Z54" s="13">
        <f>IF(AD54=0,J54,0)</f>
        <v>0</v>
      </c>
      <c r="AA54" s="13">
        <f>IF(AD54=14,J54,0)</f>
        <v>0</v>
      </c>
      <c r="AB54" s="13">
        <f>IF(AD54=20,J54,0)</f>
        <v>0</v>
      </c>
      <c r="AD54" s="26">
        <v>20</v>
      </c>
      <c r="AE54" s="26">
        <f>G54*0.370309563443054</f>
        <v>0</v>
      </c>
      <c r="AF54" s="26">
        <f>G54*(1-0.370309563443054)</f>
        <v>0</v>
      </c>
    </row>
    <row r="55" spans="1:32" ht="12.75">
      <c r="A55" s="4" t="s">
        <v>40</v>
      </c>
      <c r="B55" s="4"/>
      <c r="C55" s="4" t="s">
        <v>93</v>
      </c>
      <c r="D55" s="4" t="s">
        <v>162</v>
      </c>
      <c r="E55" s="4" t="s">
        <v>196</v>
      </c>
      <c r="F55" s="13">
        <v>3</v>
      </c>
      <c r="H55" s="13">
        <f>ROUND(F55*AE55,2)</f>
        <v>0</v>
      </c>
      <c r="I55" s="13">
        <f>J55-H55</f>
        <v>0</v>
      </c>
      <c r="J55" s="13">
        <f>ROUND(F55*G55,2)</f>
        <v>0</v>
      </c>
      <c r="K55" s="13">
        <v>0</v>
      </c>
      <c r="L55" s="13">
        <f>F55*K55</f>
        <v>0</v>
      </c>
      <c r="N55" s="25" t="s">
        <v>7</v>
      </c>
      <c r="O55" s="13">
        <f>IF(N55="5",I55,0)</f>
        <v>0</v>
      </c>
      <c r="Z55" s="13">
        <f>IF(AD55=0,J55,0)</f>
        <v>0</v>
      </c>
      <c r="AA55" s="13">
        <f>IF(AD55=14,J55,0)</f>
        <v>0</v>
      </c>
      <c r="AB55" s="13">
        <f>IF(AD55=20,J55,0)</f>
        <v>0</v>
      </c>
      <c r="AD55" s="26">
        <v>20</v>
      </c>
      <c r="AE55" s="26">
        <f>G55*0.00295320308950477</f>
        <v>0</v>
      </c>
      <c r="AF55" s="26">
        <f>G55*(1-0.00295320308950477)</f>
        <v>0</v>
      </c>
    </row>
    <row r="56" spans="1:37" ht="12.75">
      <c r="A56" s="5"/>
      <c r="B56" s="5"/>
      <c r="C56" s="11" t="s">
        <v>38</v>
      </c>
      <c r="D56" s="42" t="s">
        <v>163</v>
      </c>
      <c r="E56" s="43"/>
      <c r="F56" s="43"/>
      <c r="G56" s="43"/>
      <c r="H56" s="28">
        <f>SUM(H57:H61)</f>
        <v>0</v>
      </c>
      <c r="I56" s="28">
        <f>SUM(I57:I61)</f>
        <v>0</v>
      </c>
      <c r="J56" s="28">
        <f>H56+I56</f>
        <v>0</v>
      </c>
      <c r="K56" s="22"/>
      <c r="L56" s="28">
        <f>SUM(L57:L61)</f>
        <v>193.7735623</v>
      </c>
      <c r="P56" s="28">
        <f>IF(Q56="PR",J56,SUM(O57:O61))</f>
        <v>0</v>
      </c>
      <c r="Q56" s="22" t="s">
        <v>218</v>
      </c>
      <c r="R56" s="28">
        <f>IF(Q56="HS",H56,0)</f>
        <v>0</v>
      </c>
      <c r="S56" s="28">
        <f>IF(Q56="HS",I56-P56,0)</f>
        <v>0</v>
      </c>
      <c r="T56" s="28">
        <f>IF(Q56="PS",H56,0)</f>
        <v>0</v>
      </c>
      <c r="U56" s="28">
        <f>IF(Q56="PS",I56-P56,0)</f>
        <v>0</v>
      </c>
      <c r="V56" s="28">
        <f>IF(Q56="MP",H56,0)</f>
        <v>0</v>
      </c>
      <c r="W56" s="28">
        <f>IF(Q56="MP",I56-P56,0)</f>
        <v>0</v>
      </c>
      <c r="X56" s="28">
        <f>IF(Q56="OM",H56,0)</f>
        <v>0</v>
      </c>
      <c r="Y56" s="22"/>
      <c r="AI56" s="28">
        <f>SUM(Z57:Z61)</f>
        <v>0</v>
      </c>
      <c r="AJ56" s="28">
        <f>SUM(AA57:AA61)</f>
        <v>0</v>
      </c>
      <c r="AK56" s="28">
        <f>SUM(AB57:AB61)</f>
        <v>0</v>
      </c>
    </row>
    <row r="57" spans="1:32" ht="12.75">
      <c r="A57" s="4" t="s">
        <v>41</v>
      </c>
      <c r="B57" s="4"/>
      <c r="C57" s="4" t="s">
        <v>94</v>
      </c>
      <c r="D57" s="4" t="s">
        <v>164</v>
      </c>
      <c r="E57" s="4" t="s">
        <v>198</v>
      </c>
      <c r="F57" s="13">
        <v>31.85</v>
      </c>
      <c r="H57" s="13">
        <f>ROUND(F57*AE57,2)</f>
        <v>0</v>
      </c>
      <c r="I57" s="13">
        <f>J57-H57</f>
        <v>0</v>
      </c>
      <c r="J57" s="13">
        <f>ROUND(F57*G57,2)</f>
        <v>0</v>
      </c>
      <c r="K57" s="13">
        <v>3.118</v>
      </c>
      <c r="L57" s="13">
        <f>F57*K57</f>
        <v>99.3083</v>
      </c>
      <c r="N57" s="25" t="s">
        <v>7</v>
      </c>
      <c r="O57" s="13">
        <f>IF(N57="5",I57,0)</f>
        <v>0</v>
      </c>
      <c r="Z57" s="13">
        <f>IF(AD57=0,J57,0)</f>
        <v>0</v>
      </c>
      <c r="AA57" s="13">
        <f>IF(AD57=14,J57,0)</f>
        <v>0</v>
      </c>
      <c r="AB57" s="13">
        <f>IF(AD57=20,J57,0)</f>
        <v>0</v>
      </c>
      <c r="AD57" s="26">
        <v>20</v>
      </c>
      <c r="AE57" s="26">
        <f>G57*0.480409900315592</f>
        <v>0</v>
      </c>
      <c r="AF57" s="26">
        <f>G57*(1-0.480409900315592)</f>
        <v>0</v>
      </c>
    </row>
    <row r="58" spans="1:32" ht="12.75">
      <c r="A58" s="4" t="s">
        <v>42</v>
      </c>
      <c r="B58" s="4"/>
      <c r="C58" s="4" t="s">
        <v>95</v>
      </c>
      <c r="D58" s="4" t="s">
        <v>165</v>
      </c>
      <c r="E58" s="4" t="s">
        <v>198</v>
      </c>
      <c r="F58" s="13">
        <v>31.75</v>
      </c>
      <c r="H58" s="13">
        <f>ROUND(F58*AE58,2)</f>
        <v>0</v>
      </c>
      <c r="I58" s="13">
        <f>J58-H58</f>
        <v>0</v>
      </c>
      <c r="J58" s="13">
        <f>ROUND(F58*G58,2)</f>
        <v>0</v>
      </c>
      <c r="K58" s="13">
        <v>2.853</v>
      </c>
      <c r="L58" s="13">
        <f>F58*K58</f>
        <v>90.58275</v>
      </c>
      <c r="N58" s="25" t="s">
        <v>7</v>
      </c>
      <c r="O58" s="13">
        <f>IF(N58="5",I58,0)</f>
        <v>0</v>
      </c>
      <c r="Z58" s="13">
        <f>IF(AD58=0,J58,0)</f>
        <v>0</v>
      </c>
      <c r="AA58" s="13">
        <f>IF(AD58=14,J58,0)</f>
        <v>0</v>
      </c>
      <c r="AB58" s="13">
        <f>IF(AD58=20,J58,0)</f>
        <v>0</v>
      </c>
      <c r="AD58" s="26">
        <v>20</v>
      </c>
      <c r="AE58" s="26">
        <f>G58*0.717958526527301</f>
        <v>0</v>
      </c>
      <c r="AF58" s="26">
        <f>G58*(1-0.717958526527301)</f>
        <v>0</v>
      </c>
    </row>
    <row r="59" spans="1:32" ht="12.75">
      <c r="A59" s="4" t="s">
        <v>43</v>
      </c>
      <c r="B59" s="4"/>
      <c r="C59" s="4" t="s">
        <v>96</v>
      </c>
      <c r="D59" s="4" t="s">
        <v>166</v>
      </c>
      <c r="E59" s="4" t="s">
        <v>194</v>
      </c>
      <c r="F59" s="13">
        <v>180</v>
      </c>
      <c r="H59" s="13">
        <f>ROUND(F59*AE59,2)</f>
        <v>0</v>
      </c>
      <c r="I59" s="13">
        <f>J59-H59</f>
        <v>0</v>
      </c>
      <c r="J59" s="13">
        <f>ROUND(F59*G59,2)</f>
        <v>0</v>
      </c>
      <c r="K59" s="13">
        <v>0.01445</v>
      </c>
      <c r="L59" s="13">
        <f>F59*K59</f>
        <v>2.601</v>
      </c>
      <c r="N59" s="25" t="s">
        <v>7</v>
      </c>
      <c r="O59" s="13">
        <f>IF(N59="5",I59,0)</f>
        <v>0</v>
      </c>
      <c r="Z59" s="13">
        <f>IF(AD59=0,J59,0)</f>
        <v>0</v>
      </c>
      <c r="AA59" s="13">
        <f>IF(AD59=14,J59,0)</f>
        <v>0</v>
      </c>
      <c r="AB59" s="13">
        <f>IF(AD59=20,J59,0)</f>
        <v>0</v>
      </c>
      <c r="AD59" s="26">
        <v>20</v>
      </c>
      <c r="AE59" s="26">
        <f>G59*0.212684822103105</f>
        <v>0</v>
      </c>
      <c r="AF59" s="26">
        <f>G59*(1-0.212684822103105)</f>
        <v>0</v>
      </c>
    </row>
    <row r="60" spans="1:32" ht="12.75">
      <c r="A60" s="4" t="s">
        <v>44</v>
      </c>
      <c r="B60" s="4"/>
      <c r="C60" s="4" t="s">
        <v>97</v>
      </c>
      <c r="D60" s="4" t="s">
        <v>167</v>
      </c>
      <c r="E60" s="4" t="s">
        <v>194</v>
      </c>
      <c r="F60" s="13">
        <v>180</v>
      </c>
      <c r="H60" s="13">
        <f>ROUND(F60*AE60,2)</f>
        <v>0</v>
      </c>
      <c r="I60" s="13">
        <f>J60-H60</f>
        <v>0</v>
      </c>
      <c r="J60" s="13">
        <f>ROUND(F60*G60,2)</f>
        <v>0</v>
      </c>
      <c r="K60" s="13">
        <v>0.001</v>
      </c>
      <c r="L60" s="13">
        <f>F60*K60</f>
        <v>0.18</v>
      </c>
      <c r="N60" s="25" t="s">
        <v>7</v>
      </c>
      <c r="O60" s="13">
        <f>IF(N60="5",I60,0)</f>
        <v>0</v>
      </c>
      <c r="Z60" s="13">
        <f>IF(AD60=0,J60,0)</f>
        <v>0</v>
      </c>
      <c r="AA60" s="13">
        <f>IF(AD60=14,J60,0)</f>
        <v>0</v>
      </c>
      <c r="AB60" s="13">
        <f>IF(AD60=20,J60,0)</f>
        <v>0</v>
      </c>
      <c r="AD60" s="26">
        <v>20</v>
      </c>
      <c r="AE60" s="26">
        <f>G60*0.200361173814898</f>
        <v>0</v>
      </c>
      <c r="AF60" s="26">
        <f>G60*(1-0.200361173814898)</f>
        <v>0</v>
      </c>
    </row>
    <row r="61" spans="1:32" ht="12.75">
      <c r="A61" s="4" t="s">
        <v>45</v>
      </c>
      <c r="B61" s="4"/>
      <c r="C61" s="4" t="s">
        <v>98</v>
      </c>
      <c r="D61" s="4" t="s">
        <v>168</v>
      </c>
      <c r="E61" s="4" t="s">
        <v>193</v>
      </c>
      <c r="F61" s="13">
        <v>1.043</v>
      </c>
      <c r="H61" s="13">
        <f>ROUND(F61*AE61,2)</f>
        <v>0</v>
      </c>
      <c r="I61" s="13">
        <f>J61-H61</f>
        <v>0</v>
      </c>
      <c r="J61" s="13">
        <f>ROUND(F61*G61,2)</f>
        <v>0</v>
      </c>
      <c r="K61" s="13">
        <v>1.0561</v>
      </c>
      <c r="L61" s="13">
        <f>F61*K61</f>
        <v>1.1015123</v>
      </c>
      <c r="N61" s="25" t="s">
        <v>7</v>
      </c>
      <c r="O61" s="13">
        <f>IF(N61="5",I61,0)</f>
        <v>0</v>
      </c>
      <c r="Z61" s="13">
        <f>IF(AD61=0,J61,0)</f>
        <v>0</v>
      </c>
      <c r="AA61" s="13">
        <f>IF(AD61=14,J61,0)</f>
        <v>0</v>
      </c>
      <c r="AB61" s="13">
        <f>IF(AD61=20,J61,0)</f>
        <v>0</v>
      </c>
      <c r="AD61" s="26">
        <v>20</v>
      </c>
      <c r="AE61" s="26">
        <f>G61*0.69886482167085</f>
        <v>0</v>
      </c>
      <c r="AF61" s="26">
        <f>G61*(1-0.69886482167085)</f>
        <v>0</v>
      </c>
    </row>
    <row r="62" spans="1:37" ht="12.75">
      <c r="A62" s="5"/>
      <c r="B62" s="5"/>
      <c r="C62" s="11" t="s">
        <v>39</v>
      </c>
      <c r="D62" s="42" t="s">
        <v>169</v>
      </c>
      <c r="E62" s="43"/>
      <c r="F62" s="43"/>
      <c r="G62" s="43"/>
      <c r="H62" s="28">
        <f>SUM(H63:H63)</f>
        <v>0</v>
      </c>
      <c r="I62" s="28">
        <f>SUM(I63:I63)</f>
        <v>0</v>
      </c>
      <c r="J62" s="28">
        <f>H62+I62</f>
        <v>0</v>
      </c>
      <c r="K62" s="22"/>
      <c r="L62" s="28">
        <f>SUM(L63:L63)</f>
        <v>0</v>
      </c>
      <c r="P62" s="28">
        <f>IF(Q62="PR",J62,SUM(O63:O63))</f>
        <v>0</v>
      </c>
      <c r="Q62" s="22" t="s">
        <v>219</v>
      </c>
      <c r="R62" s="28">
        <f>IF(Q62="HS",H62,0)</f>
        <v>0</v>
      </c>
      <c r="S62" s="28">
        <f>IF(Q62="HS",I62-P62,0)</f>
        <v>0</v>
      </c>
      <c r="T62" s="28">
        <f>IF(Q62="PS",H62,0)</f>
        <v>0</v>
      </c>
      <c r="U62" s="28">
        <f>IF(Q62="PS",I62-P62,0)</f>
        <v>0</v>
      </c>
      <c r="V62" s="28">
        <f>IF(Q62="MP",H62,0)</f>
        <v>0</v>
      </c>
      <c r="W62" s="28">
        <f>IF(Q62="MP",I62-P62,0)</f>
        <v>0</v>
      </c>
      <c r="X62" s="28">
        <f>IF(Q62="OM",H62,0)</f>
        <v>0</v>
      </c>
      <c r="Y62" s="22"/>
      <c r="AI62" s="28">
        <f>SUM(Z63:Z63)</f>
        <v>0</v>
      </c>
      <c r="AJ62" s="28">
        <f>SUM(AA63:AA63)</f>
        <v>0</v>
      </c>
      <c r="AK62" s="28">
        <f>SUM(AB63:AB63)</f>
        <v>0</v>
      </c>
    </row>
    <row r="63" spans="1:32" ht="12.75">
      <c r="A63" s="4" t="s">
        <v>46</v>
      </c>
      <c r="B63" s="4"/>
      <c r="C63" s="4" t="s">
        <v>99</v>
      </c>
      <c r="D63" s="4" t="s">
        <v>170</v>
      </c>
      <c r="E63" s="4" t="s">
        <v>193</v>
      </c>
      <c r="F63" s="13">
        <v>590.036</v>
      </c>
      <c r="H63" s="13">
        <f>ROUND(F63*AE63,2)</f>
        <v>0</v>
      </c>
      <c r="I63" s="13">
        <f>J63-H63</f>
        <v>0</v>
      </c>
      <c r="J63" s="13">
        <f>ROUND(F63*G63,2)</f>
        <v>0</v>
      </c>
      <c r="K63" s="13">
        <v>0</v>
      </c>
      <c r="L63" s="13">
        <f>F63*K63</f>
        <v>0</v>
      </c>
      <c r="N63" s="25" t="s">
        <v>11</v>
      </c>
      <c r="O63" s="13">
        <f>IF(N63="5",I63,0)</f>
        <v>0</v>
      </c>
      <c r="Z63" s="13">
        <f>IF(AD63=0,J63,0)</f>
        <v>0</v>
      </c>
      <c r="AA63" s="13">
        <f>IF(AD63=14,J63,0)</f>
        <v>0</v>
      </c>
      <c r="AB63" s="13">
        <f>IF(AD63=20,J63,0)</f>
        <v>0</v>
      </c>
      <c r="AD63" s="26">
        <v>20</v>
      </c>
      <c r="AE63" s="26">
        <f>G63*0</f>
        <v>0</v>
      </c>
      <c r="AF63" s="26">
        <f>G63*(1-0)</f>
        <v>0</v>
      </c>
    </row>
    <row r="64" spans="1:37" ht="12.75">
      <c r="A64" s="5"/>
      <c r="B64" s="5"/>
      <c r="C64" s="11" t="s">
        <v>49</v>
      </c>
      <c r="D64" s="42" t="s">
        <v>171</v>
      </c>
      <c r="E64" s="43"/>
      <c r="F64" s="43"/>
      <c r="G64" s="43"/>
      <c r="H64" s="28">
        <f>SUM(H65:H67)</f>
        <v>0</v>
      </c>
      <c r="I64" s="28">
        <f>SUM(I65:I67)</f>
        <v>0</v>
      </c>
      <c r="J64" s="28">
        <f>H64+I64</f>
        <v>0</v>
      </c>
      <c r="K64" s="22"/>
      <c r="L64" s="28">
        <f>SUM(L65:L67)</f>
        <v>0.8928</v>
      </c>
      <c r="P64" s="28">
        <f>IF(Q64="PR",J64,SUM(O65:O67))</f>
        <v>0</v>
      </c>
      <c r="Q64" s="22" t="s">
        <v>218</v>
      </c>
      <c r="R64" s="28">
        <f>IF(Q64="HS",H64,0)</f>
        <v>0</v>
      </c>
      <c r="S64" s="28">
        <f>IF(Q64="HS",I64-P64,0)</f>
        <v>0</v>
      </c>
      <c r="T64" s="28">
        <f>IF(Q64="PS",H64,0)</f>
        <v>0</v>
      </c>
      <c r="U64" s="28">
        <f>IF(Q64="PS",I64-P64,0)</f>
        <v>0</v>
      </c>
      <c r="V64" s="28">
        <f>IF(Q64="MP",H64,0)</f>
        <v>0</v>
      </c>
      <c r="W64" s="28">
        <f>IF(Q64="MP",I64-P64,0)</f>
        <v>0</v>
      </c>
      <c r="X64" s="28">
        <f>IF(Q64="OM",H64,0)</f>
        <v>0</v>
      </c>
      <c r="Y64" s="22"/>
      <c r="AI64" s="28">
        <f>SUM(Z65:Z67)</f>
        <v>0</v>
      </c>
      <c r="AJ64" s="28">
        <f>SUM(AA65:AA67)</f>
        <v>0</v>
      </c>
      <c r="AK64" s="28">
        <f>SUM(AB65:AB67)</f>
        <v>0</v>
      </c>
    </row>
    <row r="65" spans="1:32" ht="12.75">
      <c r="A65" s="4" t="s">
        <v>47</v>
      </c>
      <c r="B65" s="4"/>
      <c r="C65" s="4" t="s">
        <v>100</v>
      </c>
      <c r="D65" s="4" t="s">
        <v>172</v>
      </c>
      <c r="E65" s="4" t="s">
        <v>196</v>
      </c>
      <c r="F65" s="13">
        <v>2</v>
      </c>
      <c r="H65" s="13">
        <f>ROUND(F65*AE65,2)</f>
        <v>0</v>
      </c>
      <c r="I65" s="13">
        <f>J65-H65</f>
        <v>0</v>
      </c>
      <c r="J65" s="13">
        <f>ROUND(F65*G65,2)</f>
        <v>0</v>
      </c>
      <c r="K65" s="13">
        <v>0.426</v>
      </c>
      <c r="L65" s="13">
        <f>F65*K65</f>
        <v>0.852</v>
      </c>
      <c r="N65" s="25" t="s">
        <v>7</v>
      </c>
      <c r="O65" s="13">
        <f>IF(N65="5",I65,0)</f>
        <v>0</v>
      </c>
      <c r="Z65" s="13">
        <f>IF(AD65=0,J65,0)</f>
        <v>0</v>
      </c>
      <c r="AA65" s="13">
        <f>IF(AD65=14,J65,0)</f>
        <v>0</v>
      </c>
      <c r="AB65" s="13">
        <f>IF(AD65=20,J65,0)</f>
        <v>0</v>
      </c>
      <c r="AD65" s="26">
        <v>20</v>
      </c>
      <c r="AE65" s="26">
        <f>G65*0.715772087326824</f>
        <v>0</v>
      </c>
      <c r="AF65" s="26">
        <f>G65*(1-0.715772087326824)</f>
        <v>0</v>
      </c>
    </row>
    <row r="66" spans="1:32" ht="12.75">
      <c r="A66" s="4" t="s">
        <v>48</v>
      </c>
      <c r="B66" s="4"/>
      <c r="C66" s="4" t="s">
        <v>101</v>
      </c>
      <c r="D66" s="4" t="s">
        <v>173</v>
      </c>
      <c r="E66" s="4" t="s">
        <v>194</v>
      </c>
      <c r="F66" s="13">
        <v>5</v>
      </c>
      <c r="H66" s="13">
        <f>ROUND(F66*AE66,2)</f>
        <v>0</v>
      </c>
      <c r="I66" s="13">
        <f>J66-H66</f>
        <v>0</v>
      </c>
      <c r="J66" s="13">
        <f>ROUND(F66*G66,2)</f>
        <v>0</v>
      </c>
      <c r="K66" s="13">
        <v>0.00816</v>
      </c>
      <c r="L66" s="13">
        <f>F66*K66</f>
        <v>0.0408</v>
      </c>
      <c r="N66" s="25" t="s">
        <v>7</v>
      </c>
      <c r="O66" s="13">
        <f>IF(N66="5",I66,0)</f>
        <v>0</v>
      </c>
      <c r="Z66" s="13">
        <f>IF(AD66=0,J66,0)</f>
        <v>0</v>
      </c>
      <c r="AA66" s="13">
        <f>IF(AD66=14,J66,0)</f>
        <v>0</v>
      </c>
      <c r="AB66" s="13">
        <f>IF(AD66=20,J66,0)</f>
        <v>0</v>
      </c>
      <c r="AD66" s="26">
        <v>20</v>
      </c>
      <c r="AE66" s="26">
        <f>G66*0.177309219232466</f>
        <v>0</v>
      </c>
      <c r="AF66" s="26">
        <f>G66*(1-0.177309219232466)</f>
        <v>0</v>
      </c>
    </row>
    <row r="67" spans="1:32" ht="12.75">
      <c r="A67" s="4" t="s">
        <v>49</v>
      </c>
      <c r="B67" s="4"/>
      <c r="C67" s="4" t="s">
        <v>102</v>
      </c>
      <c r="D67" s="4" t="s">
        <v>174</v>
      </c>
      <c r="E67" s="4" t="s">
        <v>194</v>
      </c>
      <c r="F67" s="13">
        <v>5</v>
      </c>
      <c r="H67" s="13">
        <f>ROUND(F67*AE67,2)</f>
        <v>0</v>
      </c>
      <c r="I67" s="13">
        <f>J67-H67</f>
        <v>0</v>
      </c>
      <c r="J67" s="13">
        <f>ROUND(F67*G67,2)</f>
        <v>0</v>
      </c>
      <c r="K67" s="13">
        <v>0</v>
      </c>
      <c r="L67" s="13">
        <f>F67*K67</f>
        <v>0</v>
      </c>
      <c r="N67" s="25" t="s">
        <v>7</v>
      </c>
      <c r="O67" s="13">
        <f>IF(N67="5",I67,0)</f>
        <v>0</v>
      </c>
      <c r="Z67" s="13">
        <f>IF(AD67=0,J67,0)</f>
        <v>0</v>
      </c>
      <c r="AA67" s="13">
        <f>IF(AD67=14,J67,0)</f>
        <v>0</v>
      </c>
      <c r="AB67" s="13">
        <f>IF(AD67=20,J67,0)</f>
        <v>0</v>
      </c>
      <c r="AD67" s="26">
        <v>20</v>
      </c>
      <c r="AE67" s="26">
        <f>G67*0</f>
        <v>0</v>
      </c>
      <c r="AF67" s="26">
        <f>G67*(1-0)</f>
        <v>0</v>
      </c>
    </row>
    <row r="68" spans="1:37" ht="12.75">
      <c r="A68" s="5"/>
      <c r="B68" s="5"/>
      <c r="C68" s="11" t="s">
        <v>52</v>
      </c>
      <c r="D68" s="42" t="s">
        <v>175</v>
      </c>
      <c r="E68" s="43"/>
      <c r="F68" s="43"/>
      <c r="G68" s="43"/>
      <c r="H68" s="28">
        <f>SUM(H69:H69)</f>
        <v>0</v>
      </c>
      <c r="I68" s="28">
        <f>SUM(I69:I69)</f>
        <v>0</v>
      </c>
      <c r="J68" s="28">
        <f>H68+I68</f>
        <v>0</v>
      </c>
      <c r="K68" s="22"/>
      <c r="L68" s="28">
        <f>SUM(L69:L69)</f>
        <v>91.89179999999999</v>
      </c>
      <c r="P68" s="28">
        <f>IF(Q68="PR",J68,SUM(O69:O69))</f>
        <v>0</v>
      </c>
      <c r="Q68" s="22" t="s">
        <v>218</v>
      </c>
      <c r="R68" s="28">
        <f>IF(Q68="HS",H68,0)</f>
        <v>0</v>
      </c>
      <c r="S68" s="28">
        <f>IF(Q68="HS",I68-P68,0)</f>
        <v>0</v>
      </c>
      <c r="T68" s="28">
        <f>IF(Q68="PS",H68,0)</f>
        <v>0</v>
      </c>
      <c r="U68" s="28">
        <f>IF(Q68="PS",I68-P68,0)</f>
        <v>0</v>
      </c>
      <c r="V68" s="28">
        <f>IF(Q68="MP",H68,0)</f>
        <v>0</v>
      </c>
      <c r="W68" s="28">
        <f>IF(Q68="MP",I68-P68,0)</f>
        <v>0</v>
      </c>
      <c r="X68" s="28">
        <f>IF(Q68="OM",H68,0)</f>
        <v>0</v>
      </c>
      <c r="Y68" s="22"/>
      <c r="AI68" s="28">
        <f>SUM(Z69:Z69)</f>
        <v>0</v>
      </c>
      <c r="AJ68" s="28">
        <f>SUM(AA69:AA69)</f>
        <v>0</v>
      </c>
      <c r="AK68" s="28">
        <f>SUM(AB69:AB69)</f>
        <v>0</v>
      </c>
    </row>
    <row r="69" spans="1:32" ht="12.75">
      <c r="A69" s="4" t="s">
        <v>50</v>
      </c>
      <c r="B69" s="4"/>
      <c r="C69" s="4" t="s">
        <v>103</v>
      </c>
      <c r="D69" s="4" t="s">
        <v>176</v>
      </c>
      <c r="E69" s="4" t="s">
        <v>198</v>
      </c>
      <c r="F69" s="13">
        <v>45.9</v>
      </c>
      <c r="H69" s="13">
        <f>ROUND(F69*AE69,2)</f>
        <v>0</v>
      </c>
      <c r="I69" s="13">
        <f>J69-H69</f>
        <v>0</v>
      </c>
      <c r="J69" s="13">
        <f>ROUND(F69*G69,2)</f>
        <v>0</v>
      </c>
      <c r="K69" s="13">
        <v>2.002</v>
      </c>
      <c r="L69" s="13">
        <f>F69*K69</f>
        <v>91.89179999999999</v>
      </c>
      <c r="N69" s="25" t="s">
        <v>7</v>
      </c>
      <c r="O69" s="13">
        <f>IF(N69="5",I69,0)</f>
        <v>0</v>
      </c>
      <c r="Z69" s="13">
        <f>IF(AD69=0,J69,0)</f>
        <v>0</v>
      </c>
      <c r="AA69" s="13">
        <f>IF(AD69=14,J69,0)</f>
        <v>0</v>
      </c>
      <c r="AB69" s="13">
        <f>IF(AD69=20,J69,0)</f>
        <v>0</v>
      </c>
      <c r="AD69" s="26">
        <v>20</v>
      </c>
      <c r="AE69" s="26">
        <f>G69*0.590827025900979</f>
        <v>0</v>
      </c>
      <c r="AF69" s="26">
        <f>G69*(1-0.590827025900979)</f>
        <v>0</v>
      </c>
    </row>
    <row r="70" spans="1:37" ht="12.75">
      <c r="A70" s="5"/>
      <c r="B70" s="5"/>
      <c r="C70" s="11" t="s">
        <v>104</v>
      </c>
      <c r="D70" s="42" t="s">
        <v>177</v>
      </c>
      <c r="E70" s="43"/>
      <c r="F70" s="43"/>
      <c r="G70" s="43"/>
      <c r="H70" s="28">
        <f>SUM(H71:H72)</f>
        <v>0</v>
      </c>
      <c r="I70" s="28">
        <f>SUM(I71:I72)</f>
        <v>0</v>
      </c>
      <c r="J70" s="28">
        <f>H70+I70</f>
        <v>0</v>
      </c>
      <c r="K70" s="22"/>
      <c r="L70" s="28">
        <f>SUM(L71:L72)</f>
        <v>0</v>
      </c>
      <c r="P70" s="28">
        <f>IF(Q70="PR",J70,SUM(O71:O72))</f>
        <v>0</v>
      </c>
      <c r="Q70" s="22" t="s">
        <v>220</v>
      </c>
      <c r="R70" s="28">
        <f>IF(Q70="HS",H70,0)</f>
        <v>0</v>
      </c>
      <c r="S70" s="28">
        <f>IF(Q70="HS",I70-P70,0)</f>
        <v>0</v>
      </c>
      <c r="T70" s="28">
        <f>IF(Q70="PS",H70,0)</f>
        <v>0</v>
      </c>
      <c r="U70" s="28">
        <f>IF(Q70="PS",I70-P70,0)</f>
        <v>0</v>
      </c>
      <c r="V70" s="28">
        <f>IF(Q70="MP",H70,0)</f>
        <v>0</v>
      </c>
      <c r="W70" s="28">
        <f>IF(Q70="MP",I70-P70,0)</f>
        <v>0</v>
      </c>
      <c r="X70" s="28">
        <f>IF(Q70="OM",H70,0)</f>
        <v>0</v>
      </c>
      <c r="Y70" s="22"/>
      <c r="AI70" s="28">
        <f>SUM(Z71:Z72)</f>
        <v>0</v>
      </c>
      <c r="AJ70" s="28">
        <f>SUM(AA71:AA72)</f>
        <v>0</v>
      </c>
      <c r="AK70" s="28">
        <f>SUM(AB71:AB72)</f>
        <v>0</v>
      </c>
    </row>
    <row r="71" spans="1:32" ht="12.75">
      <c r="A71" s="4" t="s">
        <v>51</v>
      </c>
      <c r="B71" s="4"/>
      <c r="C71" s="4" t="s">
        <v>105</v>
      </c>
      <c r="D71" s="4" t="s">
        <v>178</v>
      </c>
      <c r="E71" s="4" t="s">
        <v>196</v>
      </c>
      <c r="F71" s="13">
        <v>10</v>
      </c>
      <c r="H71" s="13">
        <f>ROUND(F71*AE71,2)</f>
        <v>0</v>
      </c>
      <c r="I71" s="13">
        <f>J71-H71</f>
        <v>0</v>
      </c>
      <c r="J71" s="13">
        <f>ROUND(F71*G71,2)</f>
        <v>0</v>
      </c>
      <c r="K71" s="13">
        <v>0</v>
      </c>
      <c r="L71" s="13">
        <f>F71*K71</f>
        <v>0</v>
      </c>
      <c r="N71" s="25" t="s">
        <v>7</v>
      </c>
      <c r="O71" s="13">
        <f>IF(N71="5",I71,0)</f>
        <v>0</v>
      </c>
      <c r="Z71" s="13">
        <f>IF(AD71=0,J71,0)</f>
        <v>0</v>
      </c>
      <c r="AA71" s="13">
        <f>IF(AD71=14,J71,0)</f>
        <v>0</v>
      </c>
      <c r="AB71" s="13">
        <f>IF(AD71=20,J71,0)</f>
        <v>0</v>
      </c>
      <c r="AD71" s="26">
        <v>20</v>
      </c>
      <c r="AE71" s="26">
        <f>G71*0</f>
        <v>0</v>
      </c>
      <c r="AF71" s="26">
        <f>G71*(1-0)</f>
        <v>0</v>
      </c>
    </row>
    <row r="72" spans="1:32" ht="12.75">
      <c r="A72" s="4" t="s">
        <v>52</v>
      </c>
      <c r="B72" s="4"/>
      <c r="C72" s="4" t="s">
        <v>106</v>
      </c>
      <c r="D72" s="4" t="s">
        <v>179</v>
      </c>
      <c r="E72" s="4" t="s">
        <v>196</v>
      </c>
      <c r="F72" s="13">
        <v>10</v>
      </c>
      <c r="H72" s="13">
        <f>ROUND(F72*AE72,2)</f>
        <v>0</v>
      </c>
      <c r="I72" s="13">
        <f>J72-H72</f>
        <v>0</v>
      </c>
      <c r="J72" s="13">
        <f>ROUND(F72*G72,2)</f>
        <v>0</v>
      </c>
      <c r="K72" s="13">
        <v>0</v>
      </c>
      <c r="L72" s="13">
        <f>F72*K72</f>
        <v>0</v>
      </c>
      <c r="N72" s="25" t="s">
        <v>7</v>
      </c>
      <c r="O72" s="13">
        <f>IF(N72="5",I72,0)</f>
        <v>0</v>
      </c>
      <c r="Z72" s="13">
        <f>IF(AD72=0,J72,0)</f>
        <v>0</v>
      </c>
      <c r="AA72" s="13">
        <f>IF(AD72=14,J72,0)</f>
        <v>0</v>
      </c>
      <c r="AB72" s="13">
        <f>IF(AD72=20,J72,0)</f>
        <v>0</v>
      </c>
      <c r="AD72" s="26">
        <v>20</v>
      </c>
      <c r="AE72" s="26">
        <f>G72*0</f>
        <v>0</v>
      </c>
      <c r="AF72" s="26">
        <f>G72*(1-0)</f>
        <v>0</v>
      </c>
    </row>
    <row r="73" spans="1:37" ht="12.75">
      <c r="A73" s="5"/>
      <c r="B73" s="5"/>
      <c r="C73" s="11" t="s">
        <v>107</v>
      </c>
      <c r="D73" s="42" t="s">
        <v>180</v>
      </c>
      <c r="E73" s="43"/>
      <c r="F73" s="43"/>
      <c r="G73" s="43"/>
      <c r="H73" s="28">
        <f>SUM(H74:H75)</f>
        <v>0</v>
      </c>
      <c r="I73" s="28">
        <f>SUM(I74:I75)</f>
        <v>0</v>
      </c>
      <c r="J73" s="28">
        <f>H73+I73</f>
        <v>0</v>
      </c>
      <c r="K73" s="22"/>
      <c r="L73" s="28">
        <f>SUM(L74:L75)</f>
        <v>0.864</v>
      </c>
      <c r="P73" s="28">
        <f>IF(Q73="PR",J73,SUM(O74:O75))</f>
        <v>0</v>
      </c>
      <c r="Q73" s="22" t="s">
        <v>218</v>
      </c>
      <c r="R73" s="28">
        <f>IF(Q73="HS",H73,0)</f>
        <v>0</v>
      </c>
      <c r="S73" s="28">
        <f>IF(Q73="HS",I73-P73,0)</f>
        <v>0</v>
      </c>
      <c r="T73" s="28">
        <f>IF(Q73="PS",H73,0)</f>
        <v>0</v>
      </c>
      <c r="U73" s="28">
        <f>IF(Q73="PS",I73-P73,0)</f>
        <v>0</v>
      </c>
      <c r="V73" s="28">
        <f>IF(Q73="MP",H73,0)</f>
        <v>0</v>
      </c>
      <c r="W73" s="28">
        <f>IF(Q73="MP",I73-P73,0)</f>
        <v>0</v>
      </c>
      <c r="X73" s="28">
        <f>IF(Q73="OM",H73,0)</f>
        <v>0</v>
      </c>
      <c r="Y73" s="22"/>
      <c r="AI73" s="28">
        <f>SUM(Z74:Z75)</f>
        <v>0</v>
      </c>
      <c r="AJ73" s="28">
        <f>SUM(AA74:AA75)</f>
        <v>0</v>
      </c>
      <c r="AK73" s="28">
        <f>SUM(AB74:AB75)</f>
        <v>0</v>
      </c>
    </row>
    <row r="74" spans="1:32" ht="12.75">
      <c r="A74" s="4" t="s">
        <v>53</v>
      </c>
      <c r="B74" s="4"/>
      <c r="C74" s="4" t="s">
        <v>108</v>
      </c>
      <c r="D74" s="4" t="s">
        <v>181</v>
      </c>
      <c r="E74" s="4" t="s">
        <v>196</v>
      </c>
      <c r="F74" s="13">
        <v>24</v>
      </c>
      <c r="H74" s="13">
        <f>ROUND(F74*AE74,2)</f>
        <v>0</v>
      </c>
      <c r="I74" s="13">
        <f>J74-H74</f>
        <v>0</v>
      </c>
      <c r="J74" s="13">
        <f>ROUND(F74*G74,2)</f>
        <v>0</v>
      </c>
      <c r="K74" s="13">
        <v>0.01</v>
      </c>
      <c r="L74" s="13">
        <f>F74*K74</f>
        <v>0.24</v>
      </c>
      <c r="N74" s="25" t="s">
        <v>7</v>
      </c>
      <c r="O74" s="13">
        <f>IF(N74="5",I74,0)</f>
        <v>0</v>
      </c>
      <c r="Z74" s="13">
        <f>IF(AD74=0,J74,0)</f>
        <v>0</v>
      </c>
      <c r="AA74" s="13">
        <f>IF(AD74=14,J74,0)</f>
        <v>0</v>
      </c>
      <c r="AB74" s="13">
        <f>IF(AD74=20,J74,0)</f>
        <v>0</v>
      </c>
      <c r="AD74" s="26">
        <v>20</v>
      </c>
      <c r="AE74" s="26">
        <f>G74*0.816020424445508</f>
        <v>0</v>
      </c>
      <c r="AF74" s="26">
        <f>G74*(1-0.816020424445508)</f>
        <v>0</v>
      </c>
    </row>
    <row r="75" spans="1:32" ht="12.75">
      <c r="A75" s="4" t="s">
        <v>54</v>
      </c>
      <c r="B75" s="4"/>
      <c r="C75" s="4" t="s">
        <v>109</v>
      </c>
      <c r="D75" s="4" t="s">
        <v>182</v>
      </c>
      <c r="E75" s="4" t="s">
        <v>195</v>
      </c>
      <c r="F75" s="13">
        <v>24</v>
      </c>
      <c r="H75" s="13">
        <f>ROUND(F75*AE75,2)</f>
        <v>0</v>
      </c>
      <c r="I75" s="13">
        <f>J75-H75</f>
        <v>0</v>
      </c>
      <c r="J75" s="13">
        <f>ROUND(F75*G75,2)</f>
        <v>0</v>
      </c>
      <c r="K75" s="13">
        <v>0.026</v>
      </c>
      <c r="L75" s="13">
        <f>F75*K75</f>
        <v>0.624</v>
      </c>
      <c r="N75" s="25" t="s">
        <v>7</v>
      </c>
      <c r="O75" s="13">
        <f>IF(N75="5",I75,0)</f>
        <v>0</v>
      </c>
      <c r="Z75" s="13">
        <f>IF(AD75=0,J75,0)</f>
        <v>0</v>
      </c>
      <c r="AA75" s="13">
        <f>IF(AD75=14,J75,0)</f>
        <v>0</v>
      </c>
      <c r="AB75" s="13">
        <f>IF(AD75=20,J75,0)</f>
        <v>0</v>
      </c>
      <c r="AD75" s="26">
        <v>20</v>
      </c>
      <c r="AE75" s="26">
        <f>G75*0.221732796892342</f>
        <v>0</v>
      </c>
      <c r="AF75" s="26">
        <f>G75*(1-0.221732796892342)</f>
        <v>0</v>
      </c>
    </row>
    <row r="76" spans="1:37" ht="12.75">
      <c r="A76" s="5"/>
      <c r="B76" s="5"/>
      <c r="C76" s="11" t="s">
        <v>110</v>
      </c>
      <c r="D76" s="42" t="s">
        <v>183</v>
      </c>
      <c r="E76" s="43"/>
      <c r="F76" s="43"/>
      <c r="G76" s="43"/>
      <c r="H76" s="28">
        <f>SUM(H77:H78)</f>
        <v>0</v>
      </c>
      <c r="I76" s="28">
        <f>SUM(I77:I78)</f>
        <v>0</v>
      </c>
      <c r="J76" s="28">
        <f>H76+I76</f>
        <v>0</v>
      </c>
      <c r="K76" s="22"/>
      <c r="L76" s="28">
        <f>SUM(L77:L78)</f>
        <v>0.6676</v>
      </c>
      <c r="P76" s="28">
        <f>IF(Q76="PR",J76,SUM(O77:O78))</f>
        <v>0</v>
      </c>
      <c r="Q76" s="22" t="s">
        <v>218</v>
      </c>
      <c r="R76" s="28">
        <f>IF(Q76="HS",H76,0)</f>
        <v>0</v>
      </c>
      <c r="S76" s="28">
        <f>IF(Q76="HS",I76-P76,0)</f>
        <v>0</v>
      </c>
      <c r="T76" s="28">
        <f>IF(Q76="PS",H76,0)</f>
        <v>0</v>
      </c>
      <c r="U76" s="28">
        <f>IF(Q76="PS",I76-P76,0)</f>
        <v>0</v>
      </c>
      <c r="V76" s="28">
        <f>IF(Q76="MP",H76,0)</f>
        <v>0</v>
      </c>
      <c r="W76" s="28">
        <f>IF(Q76="MP",I76-P76,0)</f>
        <v>0</v>
      </c>
      <c r="X76" s="28">
        <f>IF(Q76="OM",H76,0)</f>
        <v>0</v>
      </c>
      <c r="Y76" s="22"/>
      <c r="AI76" s="28">
        <f>SUM(Z77:Z78)</f>
        <v>0</v>
      </c>
      <c r="AJ76" s="28">
        <f>SUM(AA77:AA78)</f>
        <v>0</v>
      </c>
      <c r="AK76" s="28">
        <f>SUM(AB77:AB78)</f>
        <v>0</v>
      </c>
    </row>
    <row r="77" spans="1:32" ht="12.75">
      <c r="A77" s="4" t="s">
        <v>55</v>
      </c>
      <c r="B77" s="4"/>
      <c r="C77" s="4" t="s">
        <v>111</v>
      </c>
      <c r="D77" s="4" t="s">
        <v>184</v>
      </c>
      <c r="E77" s="4" t="s">
        <v>194</v>
      </c>
      <c r="F77" s="13">
        <v>20</v>
      </c>
      <c r="H77" s="13">
        <f>ROUND(F77*AE77,2)</f>
        <v>0</v>
      </c>
      <c r="I77" s="13">
        <f>J77-H77</f>
        <v>0</v>
      </c>
      <c r="J77" s="13">
        <f>ROUND(F77*G77,2)</f>
        <v>0</v>
      </c>
      <c r="K77" s="13">
        <v>0.03338</v>
      </c>
      <c r="L77" s="13">
        <f>F77*K77</f>
        <v>0.6676</v>
      </c>
      <c r="N77" s="25" t="s">
        <v>7</v>
      </c>
      <c r="O77" s="13">
        <f>IF(N77="5",I77,0)</f>
        <v>0</v>
      </c>
      <c r="Z77" s="13">
        <f>IF(AD77=0,J77,0)</f>
        <v>0</v>
      </c>
      <c r="AA77" s="13">
        <f>IF(AD77=14,J77,0)</f>
        <v>0</v>
      </c>
      <c r="AB77" s="13">
        <f>IF(AD77=20,J77,0)</f>
        <v>0</v>
      </c>
      <c r="AD77" s="26">
        <v>20</v>
      </c>
      <c r="AE77" s="26">
        <f>G77*0.000369071784462078</f>
        <v>0</v>
      </c>
      <c r="AF77" s="26">
        <f>G77*(1-0.000369071784462078)</f>
        <v>0</v>
      </c>
    </row>
    <row r="78" spans="1:32" ht="12.75">
      <c r="A78" s="4" t="s">
        <v>56</v>
      </c>
      <c r="B78" s="4"/>
      <c r="C78" s="4" t="s">
        <v>112</v>
      </c>
      <c r="D78" s="4" t="s">
        <v>185</v>
      </c>
      <c r="E78" s="4" t="s">
        <v>194</v>
      </c>
      <c r="F78" s="13">
        <v>20</v>
      </c>
      <c r="H78" s="13">
        <f>ROUND(F78*AE78,2)</f>
        <v>0</v>
      </c>
      <c r="I78" s="13">
        <f>J78-H78</f>
        <v>0</v>
      </c>
      <c r="J78" s="13">
        <f>ROUND(F78*G78,2)</f>
        <v>0</v>
      </c>
      <c r="K78" s="13">
        <v>0</v>
      </c>
      <c r="L78" s="13">
        <f>F78*K78</f>
        <v>0</v>
      </c>
      <c r="N78" s="25" t="s">
        <v>7</v>
      </c>
      <c r="O78" s="13">
        <f>IF(N78="5",I78,0)</f>
        <v>0</v>
      </c>
      <c r="Z78" s="13">
        <f>IF(AD78=0,J78,0)</f>
        <v>0</v>
      </c>
      <c r="AA78" s="13">
        <f>IF(AD78=14,J78,0)</f>
        <v>0</v>
      </c>
      <c r="AB78" s="13">
        <f>IF(AD78=20,J78,0)</f>
        <v>0</v>
      </c>
      <c r="AD78" s="26">
        <v>20</v>
      </c>
      <c r="AE78" s="26">
        <f>G78*0</f>
        <v>0</v>
      </c>
      <c r="AF78" s="26">
        <f>G78*(1-0)</f>
        <v>0</v>
      </c>
    </row>
    <row r="79" spans="1:37" ht="12.75">
      <c r="A79" s="5"/>
      <c r="B79" s="5"/>
      <c r="C79" s="11" t="s">
        <v>113</v>
      </c>
      <c r="D79" s="42" t="s">
        <v>186</v>
      </c>
      <c r="E79" s="43"/>
      <c r="F79" s="43"/>
      <c r="G79" s="43"/>
      <c r="H79" s="28">
        <f>SUM(H80:H80)</f>
        <v>0</v>
      </c>
      <c r="I79" s="28">
        <f>SUM(I80:I80)</f>
        <v>0</v>
      </c>
      <c r="J79" s="28">
        <f>H79+I79</f>
        <v>0</v>
      </c>
      <c r="K79" s="22"/>
      <c r="L79" s="28">
        <f>SUM(L80:L80)</f>
        <v>170.1915</v>
      </c>
      <c r="P79" s="28">
        <f>IF(Q79="PR",J79,SUM(O80:O80))</f>
        <v>0</v>
      </c>
      <c r="Q79" s="22" t="s">
        <v>218</v>
      </c>
      <c r="R79" s="28">
        <f>IF(Q79="HS",H79,0)</f>
        <v>0</v>
      </c>
      <c r="S79" s="28">
        <f>IF(Q79="HS",I79-P79,0)</f>
        <v>0</v>
      </c>
      <c r="T79" s="28">
        <f>IF(Q79="PS",H79,0)</f>
        <v>0</v>
      </c>
      <c r="U79" s="28">
        <f>IF(Q79="PS",I79-P79,0)</f>
        <v>0</v>
      </c>
      <c r="V79" s="28">
        <f>IF(Q79="MP",H79,0)</f>
        <v>0</v>
      </c>
      <c r="W79" s="28">
        <f>IF(Q79="MP",I79-P79,0)</f>
        <v>0</v>
      </c>
      <c r="X79" s="28">
        <f>IF(Q79="OM",H79,0)</f>
        <v>0</v>
      </c>
      <c r="Y79" s="22"/>
      <c r="AI79" s="28">
        <f>SUM(Z80:Z80)</f>
        <v>0</v>
      </c>
      <c r="AJ79" s="28">
        <f>SUM(AA80:AA80)</f>
        <v>0</v>
      </c>
      <c r="AK79" s="28">
        <f>SUM(AB80:AB80)</f>
        <v>0</v>
      </c>
    </row>
    <row r="80" spans="1:32" ht="12.75">
      <c r="A80" s="6" t="s">
        <v>57</v>
      </c>
      <c r="B80" s="6"/>
      <c r="C80" s="6" t="s">
        <v>114</v>
      </c>
      <c r="D80" s="6" t="s">
        <v>187</v>
      </c>
      <c r="E80" s="6" t="s">
        <v>198</v>
      </c>
      <c r="F80" s="14">
        <v>68.35</v>
      </c>
      <c r="G80" s="17"/>
      <c r="H80" s="14">
        <f>ROUND(F80*AE80,2)</f>
        <v>0</v>
      </c>
      <c r="I80" s="14">
        <f>J80-H80</f>
        <v>0</v>
      </c>
      <c r="J80" s="14">
        <f>ROUND(F80*G80,2)</f>
        <v>0</v>
      </c>
      <c r="K80" s="14">
        <v>2.49</v>
      </c>
      <c r="L80" s="14">
        <f>F80*K80</f>
        <v>170.1915</v>
      </c>
      <c r="N80" s="25" t="s">
        <v>7</v>
      </c>
      <c r="O80" s="13">
        <f>IF(N80="5",I80,0)</f>
        <v>0</v>
      </c>
      <c r="Z80" s="13">
        <f>IF(AD80=0,J80,0)</f>
        <v>0</v>
      </c>
      <c r="AA80" s="13">
        <f>IF(AD80=14,J80,0)</f>
        <v>0</v>
      </c>
      <c r="AB80" s="13">
        <f>IF(AD80=20,J80,0)</f>
        <v>0</v>
      </c>
      <c r="AD80" s="26">
        <v>20</v>
      </c>
      <c r="AE80" s="26">
        <f>G80*0.000274677615220031</f>
        <v>0</v>
      </c>
      <c r="AF80" s="26">
        <f>G80*(1-0.000274677615220031)</f>
        <v>0</v>
      </c>
    </row>
    <row r="81" spans="1:28" ht="12.75">
      <c r="A81" s="7"/>
      <c r="B81" s="7"/>
      <c r="C81" s="7"/>
      <c r="D81" s="7"/>
      <c r="E81" s="7"/>
      <c r="F81" s="7"/>
      <c r="G81" s="7"/>
      <c r="H81" s="44" t="s">
        <v>205</v>
      </c>
      <c r="I81" s="45"/>
      <c r="J81" s="29">
        <f>J12+J17+J27+J30+J33+J38+J40+J44+J46+J51+J56+J62+J64+J68+J70+J73+J76+J79</f>
        <v>0</v>
      </c>
      <c r="K81" s="7"/>
      <c r="L81" s="7"/>
      <c r="Z81" s="30">
        <f>SUM(Z13:Z80)</f>
        <v>0</v>
      </c>
      <c r="AA81" s="30">
        <f>SUM(AA13:AA80)</f>
        <v>0</v>
      </c>
      <c r="AB81" s="30">
        <f>SUM(AB13:AB80)</f>
        <v>0</v>
      </c>
    </row>
  </sheetData>
  <sheetProtection/>
  <mergeCells count="46">
    <mergeCell ref="A1:L1"/>
    <mergeCell ref="A2:C3"/>
    <mergeCell ref="A4:C5"/>
    <mergeCell ref="A6:C7"/>
    <mergeCell ref="A8:C9"/>
    <mergeCell ref="D2:D3"/>
    <mergeCell ref="D4:D5"/>
    <mergeCell ref="D6:D7"/>
    <mergeCell ref="D8:D9"/>
    <mergeCell ref="E2:F3"/>
    <mergeCell ref="E4:F5"/>
    <mergeCell ref="E6:F7"/>
    <mergeCell ref="E8:F9"/>
    <mergeCell ref="G2:H3"/>
    <mergeCell ref="G4:H5"/>
    <mergeCell ref="G6:H7"/>
    <mergeCell ref="G8:H9"/>
    <mergeCell ref="I2:I3"/>
    <mergeCell ref="I4:I5"/>
    <mergeCell ref="I6:I7"/>
    <mergeCell ref="I8:I9"/>
    <mergeCell ref="J2:L3"/>
    <mergeCell ref="J4:L5"/>
    <mergeCell ref="J6:L7"/>
    <mergeCell ref="J8:L9"/>
    <mergeCell ref="H10:J10"/>
    <mergeCell ref="K10:L10"/>
    <mergeCell ref="D12:G12"/>
    <mergeCell ref="D17:G17"/>
    <mergeCell ref="D27:G27"/>
    <mergeCell ref="D30:G30"/>
    <mergeCell ref="D33:G33"/>
    <mergeCell ref="D38:G38"/>
    <mergeCell ref="D40:G40"/>
    <mergeCell ref="D44:G44"/>
    <mergeCell ref="D46:G46"/>
    <mergeCell ref="D51:G51"/>
    <mergeCell ref="D76:G76"/>
    <mergeCell ref="D79:G79"/>
    <mergeCell ref="H81:I81"/>
    <mergeCell ref="D56:G56"/>
    <mergeCell ref="D62:G62"/>
    <mergeCell ref="D64:G64"/>
    <mergeCell ref="D68:G68"/>
    <mergeCell ref="D70:G70"/>
    <mergeCell ref="D73:G7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B43" sqref="B43"/>
    </sheetView>
  </sheetViews>
  <sheetFormatPr defaultColWidth="11.421875" defaultRowHeight="12.75"/>
  <cols>
    <col min="1" max="1" width="11.421875" style="0" customWidth="1"/>
    <col min="2" max="2" width="11.8515625" style="0" customWidth="1"/>
    <col min="3" max="3" width="21.7109375" style="0" customWidth="1"/>
    <col min="4" max="4" width="8.8515625" style="0" customWidth="1"/>
    <col min="5" max="5" width="14.00390625" style="0" customWidth="1"/>
    <col min="6" max="6" width="22.57421875" style="0" customWidth="1"/>
    <col min="7" max="7" width="11.421875" style="0" customWidth="1"/>
    <col min="8" max="8" width="11.8515625" style="0" customWidth="1"/>
    <col min="9" max="9" width="22.421875" style="0" customWidth="1"/>
  </cols>
  <sheetData>
    <row r="1" spans="1:9" ht="28.5" customHeight="1">
      <c r="A1" s="91" t="s">
        <v>228</v>
      </c>
      <c r="B1" s="92"/>
      <c r="C1" s="92"/>
      <c r="D1" s="92"/>
      <c r="E1" s="92"/>
      <c r="F1" s="92"/>
      <c r="G1" s="92"/>
      <c r="H1" s="92"/>
      <c r="I1" s="92"/>
    </row>
    <row r="2" spans="1:10" ht="12.75">
      <c r="A2" s="62" t="s">
        <v>1</v>
      </c>
      <c r="B2" s="55"/>
      <c r="C2" s="44" t="s">
        <v>115</v>
      </c>
      <c r="D2" s="45"/>
      <c r="E2" s="51" t="s">
        <v>206</v>
      </c>
      <c r="F2" s="51" t="s">
        <v>211</v>
      </c>
      <c r="G2" s="55"/>
      <c r="H2" s="51" t="s">
        <v>260</v>
      </c>
      <c r="I2" s="84"/>
      <c r="J2" s="23"/>
    </row>
    <row r="3" spans="1:10" ht="12.75">
      <c r="A3" s="63"/>
      <c r="B3" s="52"/>
      <c r="C3" s="66"/>
      <c r="D3" s="66"/>
      <c r="E3" s="52"/>
      <c r="F3" s="52"/>
      <c r="G3" s="52"/>
      <c r="H3" s="52"/>
      <c r="I3" s="57"/>
      <c r="J3" s="23"/>
    </row>
    <row r="4" spans="1:10" ht="12.75">
      <c r="A4" s="64" t="s">
        <v>2</v>
      </c>
      <c r="B4" s="52"/>
      <c r="C4" s="53" t="s">
        <v>116</v>
      </c>
      <c r="D4" s="52"/>
      <c r="E4" s="53" t="s">
        <v>207</v>
      </c>
      <c r="F4" s="53" t="s">
        <v>212</v>
      </c>
      <c r="G4" s="52"/>
      <c r="H4" s="53" t="s">
        <v>260</v>
      </c>
      <c r="I4" s="85"/>
      <c r="J4" s="23"/>
    </row>
    <row r="5" spans="1:10" ht="12.75">
      <c r="A5" s="63"/>
      <c r="B5" s="52"/>
      <c r="C5" s="52"/>
      <c r="D5" s="52"/>
      <c r="E5" s="52"/>
      <c r="F5" s="52"/>
      <c r="G5" s="52"/>
      <c r="H5" s="52"/>
      <c r="I5" s="57"/>
      <c r="J5" s="23"/>
    </row>
    <row r="6" spans="1:10" ht="12.75">
      <c r="A6" s="64" t="s">
        <v>3</v>
      </c>
      <c r="B6" s="52"/>
      <c r="C6" s="53" t="s">
        <v>117</v>
      </c>
      <c r="D6" s="52"/>
      <c r="E6" s="53" t="s">
        <v>208</v>
      </c>
      <c r="F6" s="53"/>
      <c r="G6" s="52"/>
      <c r="H6" s="53" t="s">
        <v>260</v>
      </c>
      <c r="I6" s="85"/>
      <c r="J6" s="23"/>
    </row>
    <row r="7" spans="1:10" ht="12.75">
      <c r="A7" s="63"/>
      <c r="B7" s="52"/>
      <c r="C7" s="52"/>
      <c r="D7" s="52"/>
      <c r="E7" s="52"/>
      <c r="F7" s="52"/>
      <c r="G7" s="52"/>
      <c r="H7" s="52"/>
      <c r="I7" s="57"/>
      <c r="J7" s="23"/>
    </row>
    <row r="8" spans="1:10" ht="12.75">
      <c r="A8" s="64" t="s">
        <v>189</v>
      </c>
      <c r="B8" s="52"/>
      <c r="C8" s="59" t="s">
        <v>269</v>
      </c>
      <c r="D8" s="52"/>
      <c r="E8" s="53" t="s">
        <v>190</v>
      </c>
      <c r="F8" s="59" t="s">
        <v>270</v>
      </c>
      <c r="G8" s="52"/>
      <c r="H8" s="53" t="s">
        <v>261</v>
      </c>
      <c r="I8" s="85" t="s">
        <v>57</v>
      </c>
      <c r="J8" s="23"/>
    </row>
    <row r="9" spans="1:10" ht="12.75">
      <c r="A9" s="63"/>
      <c r="B9" s="52"/>
      <c r="C9" s="52"/>
      <c r="D9" s="52"/>
      <c r="E9" s="52"/>
      <c r="F9" s="52"/>
      <c r="G9" s="52"/>
      <c r="H9" s="52"/>
      <c r="I9" s="57"/>
      <c r="J9" s="23"/>
    </row>
    <row r="10" spans="1:10" ht="12.75">
      <c r="A10" s="64" t="s">
        <v>4</v>
      </c>
      <c r="B10" s="52"/>
      <c r="C10" s="53"/>
      <c r="D10" s="52"/>
      <c r="E10" s="53" t="s">
        <v>209</v>
      </c>
      <c r="F10" s="53" t="s">
        <v>212</v>
      </c>
      <c r="G10" s="52"/>
      <c r="H10" s="53" t="s">
        <v>262</v>
      </c>
      <c r="I10" s="86">
        <v>41817</v>
      </c>
      <c r="J10" s="23"/>
    </row>
    <row r="11" spans="1:10" ht="12.75">
      <c r="A11" s="93"/>
      <c r="B11" s="90"/>
      <c r="C11" s="90"/>
      <c r="D11" s="90"/>
      <c r="E11" s="90"/>
      <c r="F11" s="90"/>
      <c r="G11" s="90"/>
      <c r="H11" s="90"/>
      <c r="I11" s="87"/>
      <c r="J11" s="23"/>
    </row>
    <row r="12" spans="1:9" ht="23.25" customHeight="1">
      <c r="A12" s="88" t="s">
        <v>229</v>
      </c>
      <c r="B12" s="89"/>
      <c r="C12" s="89"/>
      <c r="D12" s="89"/>
      <c r="E12" s="89"/>
      <c r="F12" s="89"/>
      <c r="G12" s="89"/>
      <c r="H12" s="89"/>
      <c r="I12" s="89"/>
    </row>
    <row r="13" spans="1:10" ht="26.25" customHeight="1">
      <c r="A13" s="31" t="s">
        <v>230</v>
      </c>
      <c r="B13" s="82" t="s">
        <v>240</v>
      </c>
      <c r="C13" s="83"/>
      <c r="D13" s="31" t="s">
        <v>242</v>
      </c>
      <c r="E13" s="82" t="s">
        <v>248</v>
      </c>
      <c r="F13" s="83"/>
      <c r="G13" s="31" t="s">
        <v>249</v>
      </c>
      <c r="H13" s="82" t="s">
        <v>263</v>
      </c>
      <c r="I13" s="83"/>
      <c r="J13" s="23"/>
    </row>
    <row r="14" spans="1:10" ht="15" customHeight="1">
      <c r="A14" s="32" t="s">
        <v>231</v>
      </c>
      <c r="B14" s="37" t="s">
        <v>241</v>
      </c>
      <c r="C14" s="38"/>
      <c r="D14" s="78" t="s">
        <v>243</v>
      </c>
      <c r="E14" s="79"/>
      <c r="F14" s="38"/>
      <c r="G14" s="78" t="s">
        <v>250</v>
      </c>
      <c r="H14" s="79"/>
      <c r="I14" s="38"/>
      <c r="J14" s="23"/>
    </row>
    <row r="15" spans="1:10" ht="15" customHeight="1">
      <c r="A15" s="33"/>
      <c r="B15" s="37" t="s">
        <v>210</v>
      </c>
      <c r="C15" s="38"/>
      <c r="D15" s="78" t="s">
        <v>244</v>
      </c>
      <c r="E15" s="79"/>
      <c r="F15" s="38"/>
      <c r="G15" s="78" t="s">
        <v>251</v>
      </c>
      <c r="H15" s="79"/>
      <c r="I15" s="38"/>
      <c r="J15" s="23"/>
    </row>
    <row r="16" spans="1:10" ht="15" customHeight="1">
      <c r="A16" s="32" t="s">
        <v>232</v>
      </c>
      <c r="B16" s="37" t="s">
        <v>241</v>
      </c>
      <c r="C16" s="38"/>
      <c r="D16" s="78" t="s">
        <v>245</v>
      </c>
      <c r="E16" s="79"/>
      <c r="F16" s="38"/>
      <c r="G16" s="78" t="s">
        <v>252</v>
      </c>
      <c r="H16" s="79"/>
      <c r="I16" s="38"/>
      <c r="J16" s="23"/>
    </row>
    <row r="17" spans="1:10" ht="15" customHeight="1">
      <c r="A17" s="33"/>
      <c r="B17" s="37" t="s">
        <v>210</v>
      </c>
      <c r="C17" s="38"/>
      <c r="D17" s="78"/>
      <c r="E17" s="79"/>
      <c r="F17" s="41"/>
      <c r="G17" s="78" t="s">
        <v>253</v>
      </c>
      <c r="H17" s="79"/>
      <c r="I17" s="38"/>
      <c r="J17" s="23"/>
    </row>
    <row r="18" spans="1:10" ht="15" customHeight="1">
      <c r="A18" s="32" t="s">
        <v>233</v>
      </c>
      <c r="B18" s="37" t="s">
        <v>241</v>
      </c>
      <c r="C18" s="38"/>
      <c r="D18" s="78"/>
      <c r="E18" s="79"/>
      <c r="F18" s="41"/>
      <c r="G18" s="78" t="s">
        <v>254</v>
      </c>
      <c r="H18" s="79"/>
      <c r="I18" s="38"/>
      <c r="J18" s="23"/>
    </row>
    <row r="19" spans="1:10" ht="15" customHeight="1">
      <c r="A19" s="33"/>
      <c r="B19" s="37" t="s">
        <v>210</v>
      </c>
      <c r="C19" s="38"/>
      <c r="D19" s="78"/>
      <c r="E19" s="79"/>
      <c r="F19" s="41"/>
      <c r="G19" s="78" t="s">
        <v>255</v>
      </c>
      <c r="H19" s="79"/>
      <c r="I19" s="38"/>
      <c r="J19" s="23"/>
    </row>
    <row r="20" spans="1:10" ht="15" customHeight="1">
      <c r="A20" s="80" t="s">
        <v>234</v>
      </c>
      <c r="B20" s="81"/>
      <c r="C20" s="38"/>
      <c r="D20" s="78"/>
      <c r="E20" s="79"/>
      <c r="F20" s="41"/>
      <c r="G20" s="78"/>
      <c r="H20" s="79"/>
      <c r="I20" s="41"/>
      <c r="J20" s="23"/>
    </row>
    <row r="21" spans="1:10" ht="15" customHeight="1">
      <c r="A21" s="80" t="s">
        <v>235</v>
      </c>
      <c r="B21" s="81"/>
      <c r="C21" s="38"/>
      <c r="D21" s="78"/>
      <c r="E21" s="79"/>
      <c r="F21" s="41"/>
      <c r="G21" s="78"/>
      <c r="H21" s="79"/>
      <c r="I21" s="41"/>
      <c r="J21" s="23"/>
    </row>
    <row r="22" spans="1:10" ht="16.5" customHeight="1">
      <c r="A22" s="80" t="s">
        <v>236</v>
      </c>
      <c r="B22" s="81"/>
      <c r="C22" s="38"/>
      <c r="D22" s="80" t="s">
        <v>246</v>
      </c>
      <c r="E22" s="81"/>
      <c r="F22" s="38"/>
      <c r="G22" s="80" t="s">
        <v>256</v>
      </c>
      <c r="H22" s="81"/>
      <c r="I22" s="38"/>
      <c r="J22" s="23"/>
    </row>
    <row r="23" spans="1:9" ht="12.75">
      <c r="A23" s="34"/>
      <c r="B23" s="34"/>
      <c r="C23" s="34"/>
      <c r="D23" s="7"/>
      <c r="E23" s="7"/>
      <c r="F23" s="7"/>
      <c r="G23" s="7"/>
      <c r="H23" s="7"/>
      <c r="I23" s="7"/>
    </row>
    <row r="24" spans="1:9" ht="15" customHeight="1">
      <c r="A24" s="73" t="s">
        <v>237</v>
      </c>
      <c r="B24" s="74"/>
      <c r="C24" s="39"/>
      <c r="D24" s="40"/>
      <c r="E24" s="17"/>
      <c r="F24" s="17"/>
      <c r="G24" s="17"/>
      <c r="H24" s="17"/>
      <c r="I24" s="17"/>
    </row>
    <row r="25" spans="1:10" ht="15" customHeight="1">
      <c r="A25" s="73" t="s">
        <v>265</v>
      </c>
      <c r="B25" s="74"/>
      <c r="C25" s="39"/>
      <c r="D25" s="73" t="s">
        <v>266</v>
      </c>
      <c r="E25" s="74"/>
      <c r="F25" s="39"/>
      <c r="G25" s="73" t="s">
        <v>257</v>
      </c>
      <c r="H25" s="74"/>
      <c r="I25" s="39"/>
      <c r="J25" s="23"/>
    </row>
    <row r="26" spans="1:10" ht="15" customHeight="1">
      <c r="A26" s="73" t="s">
        <v>267</v>
      </c>
      <c r="B26" s="74"/>
      <c r="C26" s="39"/>
      <c r="D26" s="73" t="s">
        <v>268</v>
      </c>
      <c r="E26" s="74"/>
      <c r="F26" s="39"/>
      <c r="G26" s="73" t="s">
        <v>258</v>
      </c>
      <c r="H26" s="74"/>
      <c r="I26" s="39"/>
      <c r="J26" s="23"/>
    </row>
    <row r="27" spans="1:9" ht="12.75">
      <c r="A27" s="35"/>
      <c r="B27" s="35"/>
      <c r="C27" s="35"/>
      <c r="D27" s="35"/>
      <c r="E27" s="35"/>
      <c r="F27" s="35"/>
      <c r="G27" s="35"/>
      <c r="H27" s="35"/>
      <c r="I27" s="35"/>
    </row>
    <row r="28" spans="1:10" ht="14.25" customHeight="1">
      <c r="A28" s="75" t="s">
        <v>238</v>
      </c>
      <c r="B28" s="76"/>
      <c r="C28" s="77"/>
      <c r="D28" s="75" t="s">
        <v>247</v>
      </c>
      <c r="E28" s="76"/>
      <c r="F28" s="77"/>
      <c r="G28" s="75" t="s">
        <v>259</v>
      </c>
      <c r="H28" s="76"/>
      <c r="I28" s="77"/>
      <c r="J28" s="24"/>
    </row>
    <row r="29" spans="1:10" ht="14.25" customHeight="1">
      <c r="A29" s="67" t="s">
        <v>212</v>
      </c>
      <c r="B29" s="68"/>
      <c r="C29" s="69"/>
      <c r="D29" s="67"/>
      <c r="E29" s="68"/>
      <c r="F29" s="69"/>
      <c r="G29" s="67"/>
      <c r="H29" s="68"/>
      <c r="I29" s="69"/>
      <c r="J29" s="24"/>
    </row>
    <row r="30" spans="1:10" ht="14.25" customHeight="1">
      <c r="A30" s="67"/>
      <c r="B30" s="68"/>
      <c r="C30" s="69"/>
      <c r="D30" s="67"/>
      <c r="E30" s="68"/>
      <c r="F30" s="69"/>
      <c r="G30" s="67"/>
      <c r="H30" s="68"/>
      <c r="I30" s="69"/>
      <c r="J30" s="24"/>
    </row>
    <row r="31" spans="1:10" ht="14.25" customHeight="1">
      <c r="A31" s="67"/>
      <c r="B31" s="68"/>
      <c r="C31" s="69"/>
      <c r="D31" s="67"/>
      <c r="E31" s="68"/>
      <c r="F31" s="69"/>
      <c r="G31" s="67"/>
      <c r="H31" s="68"/>
      <c r="I31" s="69"/>
      <c r="J31" s="24"/>
    </row>
    <row r="32" spans="1:10" ht="14.25" customHeight="1">
      <c r="A32" s="70" t="s">
        <v>239</v>
      </c>
      <c r="B32" s="71"/>
      <c r="C32" s="72"/>
      <c r="D32" s="70" t="s">
        <v>239</v>
      </c>
      <c r="E32" s="71"/>
      <c r="F32" s="72"/>
      <c r="G32" s="70" t="s">
        <v>239</v>
      </c>
      <c r="H32" s="71"/>
      <c r="I32" s="72"/>
      <c r="J32" s="24"/>
    </row>
    <row r="33" spans="1:9" ht="12.75">
      <c r="A33" s="36"/>
      <c r="B33" s="36"/>
      <c r="C33" s="36"/>
      <c r="D33" s="36"/>
      <c r="E33" s="36"/>
      <c r="F33" s="36"/>
      <c r="G33" s="36"/>
      <c r="H33" s="36"/>
      <c r="I33" s="36"/>
    </row>
  </sheetData>
  <sheetProtection/>
  <mergeCells count="78">
    <mergeCell ref="A1:I1"/>
    <mergeCell ref="A2:B3"/>
    <mergeCell ref="A4:B5"/>
    <mergeCell ref="A6:B7"/>
    <mergeCell ref="A8:B9"/>
    <mergeCell ref="A10:B11"/>
    <mergeCell ref="C2:D3"/>
    <mergeCell ref="C4:D5"/>
    <mergeCell ref="C6:D7"/>
    <mergeCell ref="C8:D9"/>
    <mergeCell ref="C10:D11"/>
    <mergeCell ref="E2:E3"/>
    <mergeCell ref="E4:E5"/>
    <mergeCell ref="E6:E7"/>
    <mergeCell ref="E8:E9"/>
    <mergeCell ref="E10:E11"/>
    <mergeCell ref="F6:G7"/>
    <mergeCell ref="F8:G9"/>
    <mergeCell ref="F10:G11"/>
    <mergeCell ref="H2:H3"/>
    <mergeCell ref="H4:H5"/>
    <mergeCell ref="H6:H7"/>
    <mergeCell ref="H8:H9"/>
    <mergeCell ref="H10:H11"/>
    <mergeCell ref="D16:E16"/>
    <mergeCell ref="D17:E17"/>
    <mergeCell ref="I2:I3"/>
    <mergeCell ref="I4:I5"/>
    <mergeCell ref="I6:I7"/>
    <mergeCell ref="I8:I9"/>
    <mergeCell ref="I10:I11"/>
    <mergeCell ref="A12:I12"/>
    <mergeCell ref="F2:G3"/>
    <mergeCell ref="F4:G5"/>
    <mergeCell ref="G14:H14"/>
    <mergeCell ref="G15:H15"/>
    <mergeCell ref="G16:H16"/>
    <mergeCell ref="G17:H17"/>
    <mergeCell ref="G18:H18"/>
    <mergeCell ref="B13:C13"/>
    <mergeCell ref="E13:F13"/>
    <mergeCell ref="H13:I13"/>
    <mergeCell ref="D14:E14"/>
    <mergeCell ref="D15:E15"/>
    <mergeCell ref="A25:B25"/>
    <mergeCell ref="D25:E25"/>
    <mergeCell ref="D18:E18"/>
    <mergeCell ref="D19:E19"/>
    <mergeCell ref="D20:E20"/>
    <mergeCell ref="D21:E21"/>
    <mergeCell ref="D22:E22"/>
    <mergeCell ref="A20:B20"/>
    <mergeCell ref="A21:B21"/>
    <mergeCell ref="A22:B22"/>
    <mergeCell ref="G25:H25"/>
    <mergeCell ref="G26:H26"/>
    <mergeCell ref="A28:C28"/>
    <mergeCell ref="G28:I28"/>
    <mergeCell ref="D28:F28"/>
    <mergeCell ref="G19:H19"/>
    <mergeCell ref="G20:H20"/>
    <mergeCell ref="G21:H21"/>
    <mergeCell ref="G22:H22"/>
    <mergeCell ref="A24:B24"/>
    <mergeCell ref="A26:B26"/>
    <mergeCell ref="G29:I29"/>
    <mergeCell ref="G30:I30"/>
    <mergeCell ref="G31:I31"/>
    <mergeCell ref="G32:I32"/>
    <mergeCell ref="A29:C29"/>
    <mergeCell ref="D26:E26"/>
    <mergeCell ref="A30:C30"/>
    <mergeCell ref="A31:C31"/>
    <mergeCell ref="A32:C32"/>
    <mergeCell ref="D29:F29"/>
    <mergeCell ref="D30:F30"/>
    <mergeCell ref="D31:F31"/>
    <mergeCell ref="D32:F32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Holzbachova</dc:creator>
  <cp:keywords/>
  <dc:description/>
  <cp:lastModifiedBy>Holzbachova</cp:lastModifiedBy>
  <dcterms:created xsi:type="dcterms:W3CDTF">2015-09-16T08:46:16Z</dcterms:created>
  <dcterms:modified xsi:type="dcterms:W3CDTF">2015-09-16T09:01:41Z</dcterms:modified>
  <cp:category/>
  <cp:version/>
  <cp:contentType/>
  <cp:contentStatus/>
</cp:coreProperties>
</file>