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5" activeTab="0"/>
  </bookViews>
  <sheets>
    <sheet name="rekapitulace" sheetId="1" r:id="rId1"/>
    <sheet name="výkaz výměr" sheetId="2" r:id="rId2"/>
    <sheet name="substráty_výsadbové" sheetId="3" r:id="rId3"/>
    <sheet name="výkopky a odkopky_bilance" sheetId="4" r:id="rId4"/>
  </sheets>
  <definedNames>
    <definedName name="Excel_BuiltIn_Print_Titles_5">'výkaz výměr'!$A$1:$IU$4</definedName>
    <definedName name="_xlnm.Print_Titles" localSheetId="1">'výkaz výměr'!$1:$4</definedName>
  </definedNames>
  <calcPr fullCalcOnLoad="1"/>
</workbook>
</file>

<file path=xl/sharedStrings.xml><?xml version="1.0" encoding="utf-8"?>
<sst xmlns="http://schemas.openxmlformats.org/spreadsheetml/2006/main" count="561" uniqueCount="303">
  <si>
    <t>REKAPITULACE NÁKLADŮ – II.ETAPA REKONSTRUKCE STROMOŘADÍ – JANÁČKOVO NÁBŘEŽÍ</t>
  </si>
  <si>
    <t>popis</t>
  </si>
  <si>
    <t>cena celkem / bez DPH</t>
  </si>
  <si>
    <t>cena celkem /s DPH (21%)</t>
  </si>
  <si>
    <t>PŘÍPRAVA STAVENIŠTĚ — kácení</t>
  </si>
  <si>
    <t>INŽENÝRSKÁ ČINNOST</t>
  </si>
  <si>
    <r>
      <t>ÚPRAVY PO KÁCENÍ</t>
    </r>
    <r>
      <rPr>
        <sz val="9"/>
        <rFont val="Arial"/>
        <family val="2"/>
      </rPr>
      <t xml:space="preserve"> – VŠE (a, b, c)</t>
    </r>
  </si>
  <si>
    <t xml:space="preserve">ZAŘÍZENÍ STAVENIŠTĚ </t>
  </si>
  <si>
    <t xml:space="preserve">VÝSADBA STROMŮ VE ZPEVNĚNÉ PLOŠE </t>
  </si>
  <si>
    <t>OPATŘENÍ POVRCHU VÝSADBOVÝCH RABAT – STÁVAJÍCÍ STROMY</t>
  </si>
  <si>
    <t xml:space="preserve">VÝSADBA STROMŮ V TRÁVNATÉ PLOŠE  </t>
  </si>
  <si>
    <t xml:space="preserve">POVÝSADBOVÁ PÉČE O — STROMY V RABATECH,  OBDOBÍ 5 LET  </t>
  </si>
  <si>
    <t>POVÝSADBOVÁ PÉČE O — STROMY V TRÁVNATÉ PLOŠE , OBDOBÍ 5 LET</t>
  </si>
  <si>
    <t xml:space="preserve">CELKEM </t>
  </si>
  <si>
    <t xml:space="preserve">VÝSADBOVÝ SUBSTRÁT A DRENÁŽNÍCH VRSTVY </t>
  </si>
  <si>
    <t>- DLE TECHNOLOGIÍ</t>
  </si>
  <si>
    <t>VÝSADBA V MÍSTĚ DLÁŽDĚNÉHO CHODNÍKU – RABATA (36 ks)</t>
  </si>
  <si>
    <t>m3/ ks</t>
  </si>
  <si>
    <t>počet ks</t>
  </si>
  <si>
    <t>celkem /v m3</t>
  </si>
  <si>
    <t>dle popisu v TZ, 100% výměna zeminy (jáma 1,93 x 1,96 x 1,3m)</t>
  </si>
  <si>
    <t>substrát A (1,93 x 1,93 x 0,3m)</t>
  </si>
  <si>
    <t>substrát B (1,93 x 1,96 x 0,7m)</t>
  </si>
  <si>
    <t>drenážní vrstva – recyklát nebo štěrk (1,93x1,96x0,23m)</t>
  </si>
  <si>
    <t>celkem</t>
  </si>
  <si>
    <t>VÝSADBA V TRÁVNATÉ PLOŠE (1 ks)</t>
  </si>
  <si>
    <t xml:space="preserve">dle popisu v TZ, hloubení a výměna zeminy se 100% výměnou (jáma 1,5 x1,5 x1,3m) </t>
  </si>
  <si>
    <t>substrát A (1,5 x1,5 x 0,3m)</t>
  </si>
  <si>
    <t>substrát B (1,5 x 1,5 x 0,7m)</t>
  </si>
  <si>
    <r>
      <t>drenážní vrstva /</t>
    </r>
    <r>
      <rPr>
        <sz val="9"/>
        <color indexed="53"/>
        <rFont val="Arial"/>
        <family val="2"/>
      </rPr>
      <t xml:space="preserve"> </t>
    </r>
    <r>
      <rPr>
        <sz val="9"/>
        <color indexed="8"/>
        <rFont val="Arial"/>
        <family val="2"/>
      </rPr>
      <t>recyklát nebo štěrk (1,5x1,5x0,23m)</t>
    </r>
  </si>
  <si>
    <t>Rezerva 10%</t>
  </si>
  <si>
    <t>subtrát A</t>
  </si>
  <si>
    <t>substrát B</t>
  </si>
  <si>
    <t>drenážní vrstva</t>
  </si>
  <si>
    <t>VÝKOPKY A ODKOPKY STÁVAJÍCÍH ZEMIN- BILANCE</t>
  </si>
  <si>
    <t>VÝSADBA V MÍSTĚ STÁVAJÍHO STROMU V TRÁVNÍKU, BEZE ZMĚNY POLOHY, 1ks</t>
  </si>
  <si>
    <t>odkop z místa (odvoz zeminy) m3</t>
  </si>
  <si>
    <t>Výkop – dle popisu v TZ, hloubení a výměna zeminy se 100% výměnou (jáma 1,5 x 1,5 x 1,3m)</t>
  </si>
  <si>
    <t>VÝSADBA NA CCA STÁVAJÍCÍ MÍSTA A MÍSTA S POSUNEM RABAT / A ZVĚTŠENÍM NEBO ZMĚNŠENÍM PLOCHY RABAT OPROTI PLOŠE RABAT DLE ZAMĚŘENÍ (33ks)</t>
  </si>
  <si>
    <t xml:space="preserve"> použití na zásyp/v místě kde dochází k posunu rabata, tj.nutno dosypat materiál / m3 </t>
  </si>
  <si>
    <t>zadláždění vyvolané posunem / m2</t>
  </si>
  <si>
    <t>č 3; výkop jámy, zvětšení o 1,2m2 oproti ploše ze zaměření  na výslednou velikost</t>
  </si>
  <si>
    <t xml:space="preserve">č.8, výkop jámy – zvětšení o 1,4m2 oproti ploše ze zaměření na výslednou velikost </t>
  </si>
  <si>
    <t>č.13, výkop jámy -zvětšení o0,85m2 oproti ploše ze zaměření</t>
  </si>
  <si>
    <t>č.15, výkop jámy-zvětšení 0,76m2 oroti ploše ze zaměření</t>
  </si>
  <si>
    <t xml:space="preserve">č.16, výkop-zvětšení o1,4m2 oproti plošeze zaměření </t>
  </si>
  <si>
    <t>č.27-vyrovaný odkopek a návoz, 0,53m2</t>
  </si>
  <si>
    <t>za č.27, výkopek vyrovnaný – odkopek a návoz – 1,12m2</t>
  </si>
  <si>
    <t>č.44-výkop jámy – návoz 1,9m2, odkopek 1,2m2</t>
  </si>
  <si>
    <t>č.46-výkop jámy – návoz 1,9m2, odkopek 1,2m2</t>
  </si>
  <si>
    <t>č.47-výkop jámy, zvětšení oproti ploše ze zaměření o0,8m2</t>
  </si>
  <si>
    <t>č.52 --výkop jámy, zvětšení oproti ploše ze zaměření o0,8m2</t>
  </si>
  <si>
    <t>č.53 -výkop jámy – zmenšení  1,8m2, odkopek 0,7m2</t>
  </si>
  <si>
    <t>č.55 – výkop jámy se zvětšením o 2,7m1 a zmenšením o 1,5m2 oproti ploše ze zaměření</t>
  </si>
  <si>
    <t>č.63-  výkop jámy se zvětšením o 2m1 a zmenšením o 1m2 oproti ploše ze zaměření</t>
  </si>
  <si>
    <t>č.65-zmenšení výkopu  o 0,65m2 oproti ploše ze zaměření</t>
  </si>
  <si>
    <t xml:space="preserve">č.66 -zmenšení výkopu  o 0,65m2 oproti ploše ze zaměření </t>
  </si>
  <si>
    <t xml:space="preserve">č.69 -zmenšení výkopu  o 0,65m2 oproti ploše ze zaměření </t>
  </si>
  <si>
    <t xml:space="preserve">č.70  - zmenšení výkopu  o 0,65m2 oproti ploše ze zaměření </t>
  </si>
  <si>
    <t>č.72 – výkop jámy se zvětšením o 2,8m2 a zmenšením o 3,6m2</t>
  </si>
  <si>
    <t>č.73 -výkop jámy se zvětšením o 1,6m2 a zmenšením o 0,7m2</t>
  </si>
  <si>
    <t>č.75-zmenšení jámy o 1,3m2 oproti ploše ze zaměření</t>
  </si>
  <si>
    <t>č.79-zvětšení jámy o1,9m2 oproti ploše ze zaměření</t>
  </si>
  <si>
    <t>č.80 – odkopy a návozy vyrovnané, 2,75m2</t>
  </si>
  <si>
    <t>č.82 0-zmenšení o1,2m2 oproti ploše ze zaměření</t>
  </si>
  <si>
    <t>č.85-zmenšení o 1,5m2 oproti ploše ze zaměření</t>
  </si>
  <si>
    <t>č.86 - zmenšení o1,2m2 oproti ploše ze zaměření</t>
  </si>
  <si>
    <t>č.87 -zvětšení o 1,5m2 a zmenšení o 2,7m2 oproti ploše ze zaměření</t>
  </si>
  <si>
    <t>č.90 – zmenšení o 1m2 oproti ploše ze zaměření</t>
  </si>
  <si>
    <t>č.91 – zmenšení o 1,3m2 oproti ploše ze zaměření</t>
  </si>
  <si>
    <t>č.92 -  zvětšení o 1,9m2, zmenšení o 1,2m2  oproti ploše ze zaměření</t>
  </si>
  <si>
    <t>č.93 – zmenšení o 1,93m2  oproti ploše ze zaměření</t>
  </si>
  <si>
    <t>č.94 – zmenšení o 1,8m2 oproti ploše ze zaměření</t>
  </si>
  <si>
    <t>č.96 – zmenšení o 1,2m2 oproti ploše ze zaměření</t>
  </si>
  <si>
    <t>Celkem se z jam odkope, vybere a odveze</t>
  </si>
  <si>
    <t>Celkem se naveze=použije z výkopků</t>
  </si>
  <si>
    <t>ZRUŠENÍ RABAT V DLAŽBĚ (9 ks)</t>
  </si>
  <si>
    <t xml:space="preserve"> (návoz zeminy) m3</t>
  </si>
  <si>
    <t>dosypání zeminy do úrovně pod dlažbu (předpoklad je 2/3 objemu jámy) (2/3 x1,93x1,96x1,2m)/ks</t>
  </si>
  <si>
    <t>pokládku dlažby – provádí TSK</t>
  </si>
  <si>
    <t>průměrný rozměr rabata s obrubou ze žuly 2,1 x 2,3 m, bez obruby 1,93x1,96m</t>
  </si>
  <si>
    <t>Použití zeminy z výkopků</t>
  </si>
  <si>
    <t>ZRUŠENÍ VÝSADBOVÝCH MÍST V TRÁVNÍKU (4 ks)</t>
  </si>
  <si>
    <t>dosypání zeminy do úrovně pod trávník  (předpoklad je 2/3 objemu jámy (2/3x1,5x1,5x1,3m)/ks</t>
  </si>
  <si>
    <t>průměrný rozměr jámy 1,5 x 1,5 x 1,2m</t>
  </si>
  <si>
    <t>ZRUŠENÍ VÝSADBOVÉHO MÍSTA V ASFALTU (1 ks)</t>
  </si>
  <si>
    <t>(návoz zeminy) m3</t>
  </si>
  <si>
    <t>dosypání zeminy do úrovně pod asfalt  (předpoklad je 2/3 objemu jámy (2/3x1,5x1,5x1,3m2)/ks</t>
  </si>
  <si>
    <t>NOVÁ RABATA ( 3 ks)</t>
  </si>
  <si>
    <t>hloubení jam a odvoz 100%  výkopku jam</t>
  </si>
  <si>
    <t>rozměr rabata  1,93 x 1,96 x 1,3m</t>
  </si>
  <si>
    <t>Odkop a odvoz zeminy</t>
  </si>
  <si>
    <t>m3</t>
  </si>
  <si>
    <t>odkopy</t>
  </si>
  <si>
    <t>použití na zásypy</t>
  </si>
  <si>
    <t>výsledný odvoz zemin</t>
  </si>
  <si>
    <t>Číslo</t>
  </si>
  <si>
    <t>Zkrácený</t>
  </si>
  <si>
    <t>M.j.</t>
  </si>
  <si>
    <t>Počet</t>
  </si>
  <si>
    <t>Jednotková</t>
  </si>
  <si>
    <t>Náklady celkem</t>
  </si>
  <si>
    <t>Hmotnost v tunách</t>
  </si>
  <si>
    <t>kap.</t>
  </si>
  <si>
    <t>cena</t>
  </si>
  <si>
    <t>Dodávka</t>
  </si>
  <si>
    <t>Montáž</t>
  </si>
  <si>
    <t>Jednot.</t>
  </si>
  <si>
    <t>Celkem</t>
  </si>
  <si>
    <t>1</t>
  </si>
  <si>
    <t>kácení stromů postupné se spouštěním části kmene a koruny, s průměrem kmene od 100 do 200 mm, s rozřezáním kmene  a odvětvením</t>
  </si>
  <si>
    <t>ks</t>
  </si>
  <si>
    <t>kácení stromů postupné se spouštěním části kmene a koruny, s průměrem kmene 200 do 300 mm, s rozřezáním kmene  a odvětvením</t>
  </si>
  <si>
    <t>kácení stromů postupné se spouštěním části kmene a koruny, s průměrem kmene od 300 do 400 mm, s rozřezáním kmene  a odvětvením</t>
  </si>
  <si>
    <t>kácení stromů postupné se spouštěním části kmene a koruny, s průměrem kmene od 400 do 500 mm, s rozřezáním kmene  a odvětvením</t>
  </si>
  <si>
    <t>kácení stromů postupné se spouštěním části kmene a koruny, s průměrem kmene od 500 do 600 mm, s rozřezáním kmene  a odvětvením</t>
  </si>
  <si>
    <t>kácení stromů postupné se spouštěním části kmene a koruny, s průměrem kmene od 600 do 700 mm, s rozřezáním kmene  a odvětvením</t>
  </si>
  <si>
    <t>kácení stromů postupné se spouštěním části kmene a koruny, s průměrem kmene od 800 do 900 mm, s rozřezáním kmene  a odvětvením</t>
  </si>
  <si>
    <t>odstranění pařezů ručně průměrem do 200 mm, s odklizením a zasypáním</t>
  </si>
  <si>
    <t>odstranění pařezů ručně průměrem 200 — 300 mm, s odklizením a zasypáním</t>
  </si>
  <si>
    <t>odstranění pařezů ručně průměrem 300 — 400 mm, s odklizením a zasypáním</t>
  </si>
  <si>
    <t>odstranění pařezů ručně průměrem 400 — 500 mm, s odklizením a zasypáním</t>
  </si>
  <si>
    <t>odstranění pařezů ručně průměrem 500 — 600 mm, s odklizením a zasypáním</t>
  </si>
  <si>
    <t>odstranění pařezů ručně průměrem 600 — 700 mm, s odklizením a zasypáním</t>
  </si>
  <si>
    <t>odstranění pařezů ručně průměrem 800 — 900 mm, s odklizením a zasypáním</t>
  </si>
  <si>
    <t>odvoz odpadu na skládku (0,5 m3/ks)</t>
  </si>
  <si>
    <t>nakládání výkopků do 100m3</t>
  </si>
  <si>
    <t>přesun hmot a materiálů</t>
  </si>
  <si>
    <t>t</t>
  </si>
  <si>
    <t>zajištění vytýčení a vypípání tras inženýrských sítí (nebo přítomnosti správců sítí)</t>
  </si>
  <si>
    <t>kpl</t>
  </si>
  <si>
    <t>zajištění dopravněinženýrských opatření a dopravněinženýrských rozhodnutí</t>
  </si>
  <si>
    <t>ÚPRAVY PO KÁCENÍ</t>
  </si>
  <si>
    <t>a</t>
  </si>
  <si>
    <t>MÍSTA, KDE SE RABATO RUŠÍ – DLÁŽDĚNÁ PLOCHA  (9ks)</t>
  </si>
  <si>
    <t>doplnění substrátu do jam po odstraněných kořenech /zasypání jam do výsledné nivelety pro zadláždení, se zhutněním, tam kde se ruší rabato, 2/3 objemu jámy (1,93 x1,96 x 1,2m)=3,2m3/ ks (jedná se o polohy u stromů č. 5, 9, 20,21,60,67,78 a 81)</t>
  </si>
  <si>
    <t xml:space="preserve">substrát k zasypání rušených jam /přesun z místa </t>
  </si>
  <si>
    <t>odstranění lemu z kostek (žula 15/17/20cm) -6,5x0,17x0,15m/ x 8ks,   s jejich očištěním a složením na hromady; 0,165m3 /ks</t>
  </si>
  <si>
    <t>odstranění podkladu z betonu u obrubníků ze žuly, vyhrabání a odstranění stavebních zbytků a štěrku; (6,5bm x 0,2 x 0,3m) 0,39m3/ks</t>
  </si>
  <si>
    <t>odvoz betonu a suti na skládku</t>
  </si>
  <si>
    <t>zřízení písčitého podkladového lože pro mozaiku (2,1 x 2,3mx0,05 m)/ks, 9ks</t>
  </si>
  <si>
    <t>podkladový písek  a písek na zásyp (2,1 x 2,3 x 0,05m)+ (2,1x2,3x0,03m)/ks, 9ks</t>
  </si>
  <si>
    <t>kladení dlažební mozaiky do písčitého podkladu (2,1x2,3m) /9ks, ze zásypem z písku</t>
  </si>
  <si>
    <t>m2</t>
  </si>
  <si>
    <t xml:space="preserve">mozaika dlažební 4/6 cm (stejná barevnost a skladba jako je použitá v chodníku) </t>
  </si>
  <si>
    <t>b</t>
  </si>
  <si>
    <t>MÍSTA PO KÁCENÍ – PLOCHA  S POVRCHEM ASFALTU  (1ks)</t>
  </si>
  <si>
    <t>doplnění substrátu do jam po odstraněných kořenech /zasypání jam do výsledné nivelety pro položení asfaltu/ 2/3 objemu jamy (1,93 x1,96 x 1,2m)=3,2m3/ 1 ks (u stromu č.28)</t>
  </si>
  <si>
    <t xml:space="preserve">substrát k zasypání rušených jam, z místa </t>
  </si>
  <si>
    <t>odstranění živičného krytu do tloušťky 10 cm (odhad 1,5m2 /ks), v případě poškození kácením</t>
  </si>
  <si>
    <t>odvoz suti na skládku</t>
  </si>
  <si>
    <t>zřízení podkladu pro asfalt, odhad 1,5+ plocha po jámě (1,93x1,96)/5,28m2</t>
  </si>
  <si>
    <t>doplnění chybějící asfaltové plochy (při poškození stávajaící plochy) asfalt obyčejný 50/70</t>
  </si>
  <si>
    <t>c</t>
  </si>
  <si>
    <t>MÍSTA PO KÁCENÍ – TRÁVNATÁ PLOCHA (4ks)</t>
  </si>
  <si>
    <t>doplnění substrátu do jam po odstraněných kořenech /zasypání jam do výsledné nivelety pro zatravnění / 2/3 objemu jámy (1,5 x 1,5 x 1,2 m)=2,7m3/ 4 ks</t>
  </si>
  <si>
    <t xml:space="preserve">substrát k zasypání, z místa </t>
  </si>
  <si>
    <t>srovnání pozemku na niveletu -10 cm (rozhrnutí do stran) /2,25m2/ks, 4 ks</t>
  </si>
  <si>
    <t>plošná úprava terénu pro trávník, s nakypřením podkladu</t>
  </si>
  <si>
    <t>ornice s pískem  (vrstva 10 cm) + 10% na slehnutí</t>
  </si>
  <si>
    <t>založení trávníku výsevem, na půdě předem připravené</t>
  </si>
  <si>
    <t>osivo-trávník parkový (0,025kg/m2)</t>
  </si>
  <si>
    <t>kg</t>
  </si>
  <si>
    <t>obdělání půdy válením, 2x</t>
  </si>
  <si>
    <t>zálivka  (0,01m3/m2)</t>
  </si>
  <si>
    <t>ošetření trávníku jednorázové</t>
  </si>
  <si>
    <t>ÚPRAVY PO KÁCENÍ – VŠE (a, b, c)</t>
  </si>
  <si>
    <t xml:space="preserve"> </t>
  </si>
  <si>
    <t>zařízení staveniště</t>
  </si>
  <si>
    <t>zabezpečení a vybavení staveniště, včetně zajištění instalace mobilního oplocení k zajištění výsadbových jam v průběhu výkopových prací a následná demontáž oplocení</t>
  </si>
  <si>
    <t>vytýčení výsadeb</t>
  </si>
  <si>
    <t>dopravní značení, osvětlení staveniště, oplocení staveniště, informační tabule</t>
  </si>
  <si>
    <t>zrušení zařízení staveniště, včetně úpravy terénu</t>
  </si>
  <si>
    <t>VÝSADBA STROMŮ VE ZPEVNĚNÉ PLOŠE (36ks)</t>
  </si>
  <si>
    <t>hloubení jam ručně do hloubky , o objemu do 5m3, hl.1,3 m, se 100% výměnou zeminy (1,93x1,96x1,3m) /4,9m3/ks</t>
  </si>
  <si>
    <t>odvoz zeminy na skládku</t>
  </si>
  <si>
    <r>
      <t>použití zeminy na dosyp – v místech posunu, včetně dosypání a srovnání/</t>
    </r>
    <r>
      <rPr>
        <i/>
        <sz val="8"/>
        <color indexed="8"/>
        <rFont val="Arial"/>
        <family val="2"/>
      </rPr>
      <t xml:space="preserve"> nutno ověřit na místě skutečný stav – závisí na skutečných posunech rabat!!</t>
    </r>
  </si>
  <si>
    <t>VÝSADBA</t>
  </si>
  <si>
    <t>počítano pro všechny stromy ve zpevněné ploše, včetně stromů v nových lokalizacích rabat</t>
  </si>
  <si>
    <t>výsadba dřeviny s balem o průměru do 0,8 m do jámy, se zalitím v rovině a svahu do 1:5</t>
  </si>
  <si>
    <t>sortiment stromů-specifikace (viz průvodní a technická zpráva)</t>
  </si>
  <si>
    <t>Sophora japonica 'Princenton Upright´(jerlín japonský), ZB, obvod kmene 18 – 20 cm, nasazení koruny v 2,5 m</t>
  </si>
  <si>
    <t>pro všechny stromy platí, že pokud budou mít korunu níže než 2,5m, nutno počítat s jejich vyvětvením ;</t>
  </si>
  <si>
    <t xml:space="preserve">pěstební substrát A (viz specifikace v TZ); 1,13m3/ ks  + 10% na slehnutí,-0,05m3/bal,  tj. 1,19 m3/ks </t>
  </si>
  <si>
    <t>pěstební substrát B (viz specifikace v TZ); 2,65m3/ ks  + 10% na slehnutí, -0,15m3 (bal)/ks;  tj. 2,7m3/ks</t>
  </si>
  <si>
    <t>zřízení drenážní vrstvy (tl vrstvy 23cm, viz specifikace v TZ) (1,93x1,96m) 3,78m2/ks</t>
  </si>
  <si>
    <t>recyklát směsný cihelný, frakce 8/32; 0,87m3/ks</t>
  </si>
  <si>
    <t>zřízení dělící vrstvy z geotextílie (1,93 x1,96m)+10% na překryv; 4,16m2/ks</t>
  </si>
  <si>
    <t>geotextilie /tkaná, 500g/m2 (4,16m2/ks)</t>
  </si>
  <si>
    <t>instalace závlahové sondy s víčkem, se štěrkovou výplní /1,5 bm/ks</t>
  </si>
  <si>
    <t>výplň závlahové sondy  (0,0075m3/ks), štěrk fr 16/32</t>
  </si>
  <si>
    <t>PROTIKOŘENOVÉ BARIÉRY</t>
  </si>
  <si>
    <t>instalace protikořenové bariéry, do předem vyhloubené rýhy, včetně zásypu a zhutnění/  folie Raci Bloc /Rootcontrol (výška folie1m; maximálně po po dvou stranách jámy/ dle stavu tras sítí  -(dle podkladů od srprávců sítí)- 29 x1strana, 1x2 strany, celkem78,98 m2</t>
  </si>
  <si>
    <t>po jedné straně jámy u č. 3,13,15,16,mezi 20-21,27, za 27, 44,46,47,52,53,55, 63, 65,75,78,79,80,81, 82,85,86,90,91,92,93,94,96</t>
  </si>
  <si>
    <t>na dvě kolmé strany jámy u stromu č 87</t>
  </si>
  <si>
    <t xml:space="preserve">hloubení rýhy pro instalaci protikořenové bariéry, výška do 1,1m, rýha hl. do  600mm (ve předem připravené jámě) </t>
  </si>
  <si>
    <t>m</t>
  </si>
  <si>
    <t>folie Raci Bloc /Rootcontrol (výška 1 m; použití max 1,9-2,1 bm  na jednu stranu jámy)</t>
  </si>
  <si>
    <t>OCHRANA STÁVAJÍCÍCH STROMŮ</t>
  </si>
  <si>
    <t>pokldádka ochranné textilie a dřevěných pojezdových desek na plochu kořenové zóny/rabata; použití pouze v nevyhnutelných případech!!počítano pro plochu v okolí max 3 stromů; v ploše 1 rabata/4,5m2, včetně materiálu</t>
  </si>
  <si>
    <t>KOTVENÍ A OCHRANA KMENE</t>
  </si>
  <si>
    <t>ukotvení stromu — trojbodové dřevěné kotvení, kůly 3m, pr.kůlů 10cm, kůly frézované, s fazetou (viz specifikace), včetně ukotvení všech příček (horních i spodních ve třech řadách nad sebou)</t>
  </si>
  <si>
    <t>kůly a příčky/kůl frézovaný s fazetou a špicí, průměr 10 cm,  délka kůlů 3 m; příčky půlkulaté, délka příček do 0,6m  /viz specifikace/- počítáno na strom, tj 3 kůly</t>
  </si>
  <si>
    <t>spodní příčky/ochrana proti psům/; příčky půlkulaté, délka příček 0,6m /viz specifikace/ v 3 řadách nad sebou (tj.3x3 ks /strom)-počítáno na strom (tj 9ks/ strom)</t>
  </si>
  <si>
    <t>úvazky-vyvazovaný popruh POP, 25mm; 10 bm / strom</t>
  </si>
  <si>
    <t>zhotovení obalu kmene z rákosu (1,5m2 /ks; jedna vrstva, přeložení ve spoji), doplnění vyrovnávací bambus.tyče</t>
  </si>
  <si>
    <t>rákosová rohož (1,5m2 /ks, výška 1,5 – max 2 m)+10%, tj 1,65m2/ks</t>
  </si>
  <si>
    <t>bambusová tyč, průmer3cm, délka tyče 2m; 1ks /strom</t>
  </si>
  <si>
    <t>ošetření rostlin po výsadbě /řez</t>
  </si>
  <si>
    <t>zalivka  všech stromů v rabatech (0,1m3/ks)</t>
  </si>
  <si>
    <t>dovoz vody pro zálivku  na vzdálenost do 1000 m, včetně poplatku za vodné</t>
  </si>
  <si>
    <t>HORNÍ ZÁSYP RABATA</t>
  </si>
  <si>
    <t>zásyp vysázených stromů, štěrková vrstva tl 7cm, na podkladní geotextilii; štěrk fr 16/32 (specifikace viz TZ); 3,78m2/ks</t>
  </si>
  <si>
    <t>štěrk fr 16/32 (0,26m3/ks) (specifikace viz TZ) (0,44x1,7)</t>
  </si>
  <si>
    <t>OBRUBY</t>
  </si>
  <si>
    <t>počítáno pro všechny rabata, kde je vásadba cca do stávajících poloh; v případě, že nedojde k jejich poškození bude odečteno</t>
  </si>
  <si>
    <t>rozebrání dlažby ze žuly (6,5x0,15x0,17m) 0,165m3/ks, s očištěním a složením na hromady</t>
  </si>
  <si>
    <t>odstranění podkladu z betonu u obrubníků ze žuly, vyhrabání a odstranění stavebních zbytků a štěrku; (6,5bm x 0,2 x 0,3m) 0,39m3/ks (ze stáv rabat, 27ks)</t>
  </si>
  <si>
    <t>odvoz  na skládku (asfalt, beton)</t>
  </si>
  <si>
    <t>dlažba z kostek  žulových/oprava v případě jejich poškození kácením stromů, posuny rabat/ do betonového podkladu, s provedením lože z kameniva  /počítáno přeložení u všech 33 rabat/</t>
  </si>
  <si>
    <t>žula 15/17 třída I., šedá, stávající kostky + nové/ pro 1 rabato, tj 0,165m3 /ks=0,44t/ks</t>
  </si>
  <si>
    <t>hloubení rýhy šíře do 300 mm, 6,5bm/ks</t>
  </si>
  <si>
    <t>polštář zhutněný pod základ ze štěrkopísku (6,5 x 0,3 x 0,1m) 0,195m3/ks</t>
  </si>
  <si>
    <t>základový pás z betonu , beton B 25, (6,5 x 0,2 x 0,3m) 0,39m3/ks</t>
  </si>
  <si>
    <t xml:space="preserve">POSUNY DOPRAVNÍCH ZNAČEK </t>
  </si>
  <si>
    <t>demontáž dopravních značek které budou v kolizi se stromy; u stromu s číslem:53, 78, 80, 89</t>
  </si>
  <si>
    <t>montáž posouvané dopravní značky do betonového lože</t>
  </si>
  <si>
    <t>ZALOŽENÍ NOVÝCH RABAT A NOVÝCH OBRUB</t>
  </si>
  <si>
    <t>(za č. 78, mezi 80 - 81, mezi 20 – 21) výkopy počítány výše</t>
  </si>
  <si>
    <t>rozebrání dlažby chodníku ze žuly (1,96,1,93x0,08 m) 0,3m3/ks, s očištěním a složením na hromady</t>
  </si>
  <si>
    <t>odstranění podkladové vrstvy ze štěrkopísku</t>
  </si>
  <si>
    <t>výkopy jam a výsadba, včetně kotvení počítáno výše</t>
  </si>
  <si>
    <t xml:space="preserve">dlažba z kostek  žulových  (6,5x0,15x0,17m) do betonového podkladu, s provedením lože z kameniva </t>
  </si>
  <si>
    <t>žula 15/17 třída I., šedá, tj 0,165m3 /ks=0,44t/ks</t>
  </si>
  <si>
    <t>základový pás z betonu (6,5 x 0,2 x 0,3m) 0,39m3/ks</t>
  </si>
  <si>
    <t>DOPNĚNÍ DLAŽBY V MÍSTECH POSUNU</t>
  </si>
  <si>
    <t>skutečný stav nutno ověřit na místě!!</t>
  </si>
  <si>
    <t xml:space="preserve">zřízení písčitého podkladového lože pro mozaiku </t>
  </si>
  <si>
    <t>podkladový písek  a písek na zásyp, 0,08m x 27,73m2</t>
  </si>
  <si>
    <t>kladení dlažební mozaiky do písčitého podkladu, ze zásypem z písku</t>
  </si>
  <si>
    <t>OPATŘENÍ U POVRCHU RABAT – STÁVAJÍCÍ STROMY (44ks)</t>
  </si>
  <si>
    <t>odebrání horní vrstvy 10 cm (zeminy a zbytků štěrku, včetně zbytků geotextilie) ručně z rabat u stávajících stromů, tj.ze 44 rabat (0,378 m3/ks)</t>
  </si>
  <si>
    <t>zásyp stromů 3cm vrstvou substrátu (typ A) s přídavným hnojivem, včetně materiálu</t>
  </si>
  <si>
    <t>instalace geotextilie pod vrstvu štěrku (4,16m2/ks)</t>
  </si>
  <si>
    <t>geotextilie /tkaná, 500g/m2/</t>
  </si>
  <si>
    <t>zásyp vysázených stromů, vrstva 7cm štěrku, fr 16/32 (specifikace viz TZ); 3,78m2/ks</t>
  </si>
  <si>
    <t>štěrk fr 16/32 (0,26m3/ks) (specifikace viz TZ)</t>
  </si>
  <si>
    <t>POSUNY KOŠŮ NA PSÍ EXKREMENTY Z PLOCHY RABÁTEK</t>
  </si>
  <si>
    <t>demontáž koše na psí exkrementy z rabátka; koš u stromu s číslem:13 a 77</t>
  </si>
  <si>
    <t>montáž koše na nové místo, do betonové patky</t>
  </si>
  <si>
    <t xml:space="preserve">ODSTRANĚNÍ STÁVAJÍCÍH KOVOVÝCH CHRÁNIČEK KMENŮ </t>
  </si>
  <si>
    <t>počet chrániček je dle inventury správce 28 ks; nutno ověřit skutečný stav na místě</t>
  </si>
  <si>
    <t>demontáž stávajícíh chrániček kmenů, včetne podkladního roštu a dvou betonových prahů</t>
  </si>
  <si>
    <t>naložení chrániček a podkladních roštů a prahů na dopravní prostředek</t>
  </si>
  <si>
    <t>odvoz chrániček, podkladních roštů a betonových prahů na vzdálenost do 50km, na místo určené správcem stromořadí</t>
  </si>
  <si>
    <t>VÝSADBA STROMŮ V TRÁVNATÉ PLOŠE  (1ks)</t>
  </si>
  <si>
    <t>hloubení jam ručně,  o objemu do 5m3, do hloubky 1,3 m, se 100% výměnou zeminy (1,5 x1,5 x1,3m) / 2,92m3/ks</t>
  </si>
  <si>
    <t>výsadba dřeviny s balem průměru do 0,8 m do jámy, se zalitím v rovině a svahu do 1:5</t>
  </si>
  <si>
    <t>Sophora japonica 'Regent´(jerlín japonský), ZB, obvod kmene 18 – 20 cm, nasazení koruny v 2,5 m</t>
  </si>
  <si>
    <t xml:space="preserve">pěstební substrát A (viz specifikace v TZ); 0,84 m3/ ks  + 10% na slehnutí,-0,05m3/bal,  tj. 0,87 m3/ks </t>
  </si>
  <si>
    <t>pěstební substrát B (viz specifikace v TZ); 1,57m3/ ks  + 10% na slehnutí, -0,15m3 (bal)/ks;  tj. 1,58m3/ks</t>
  </si>
  <si>
    <t xml:space="preserve">zřízení drenážní vrstvy (tl vrstvy 23cm; viz specifikace v TZ) (1,5 x1,5x0,23m) </t>
  </si>
  <si>
    <t>recyklát směsný cihelný frakce 8/32 ; 0,51m3 /ks</t>
  </si>
  <si>
    <t>zřízení dělící vrstvy z geotextílie (1,5 x1,5m)+10% na překryv; 2,47m2/ks</t>
  </si>
  <si>
    <t>geotextilie /tkaná, 500g/m2 (2,47m2/ks)</t>
  </si>
  <si>
    <t>instalace protikořenové bariéry, do předem  vyhloubené rýhy, včetně zásypu a zhutnění /folie Raci Bloc /Rootcontrol (výška folie1m; 1,5 m2/1 strana jámy)</t>
  </si>
  <si>
    <t>po jedné straně jámy – 1ks</t>
  </si>
  <si>
    <t>folie Raci Bloc /Rootcontrol (výška od 0,7 do 1 m; použití max 1,2 bm  na jednu stranu jámy),1x</t>
  </si>
  <si>
    <t>spodní příčky/ochrana proti psům/; příčky půlkulaté, délka příček 0,6m /viz specifikace/ v 3 řadách nad sebou (tj.3x3 ks /strom)-počítáno na strom, tj celkm 9ks)</t>
  </si>
  <si>
    <t>bambusová tyč, průmer3cm, délka tyše 2m; 1ks /strom</t>
  </si>
  <si>
    <t>mulčování vysázených rostlin /vrstva 10 cm</t>
  </si>
  <si>
    <t>zhotovení závlahové mísy z mulče o průměru 80 — 100 cm, výška mísy 10 cm</t>
  </si>
  <si>
    <t>borka tříděná</t>
  </si>
  <si>
    <t>DOPLNĚNÍ TRÁVNÍKU V OKOLÍ VÝSADBY STROMU</t>
  </si>
  <si>
    <t>srovnání pozemku na niveletu -10 cm (rozhrnutí do stran) /1,5m2/ks</t>
  </si>
  <si>
    <t>plošná úprava terénu  pro trávník, s nakypřením podkladu</t>
  </si>
  <si>
    <t>zálivka trávníku (0,01m3/m2)</t>
  </si>
  <si>
    <t>zálivka stromů jednotlivě (0,1m3/ks); 15 x ročně , za 5 let</t>
  </si>
  <si>
    <t>odstranění plevelů vypletím, včetně odvozu biomasy,  6 x ročně, na 5 let</t>
  </si>
  <si>
    <t>odstranění výmladků u stromů, 2 x ročně, na 5 let</t>
  </si>
  <si>
    <t>výchovný řez stromu, od 2. roku po výsadbě (včetně vyvětvení do 2,5 m výšky), 1 x ročně</t>
  </si>
  <si>
    <t>čištění povrchu rabátka, odstranění odpadu a nečistot, kontrola stavu stromořadí – 12x/rok, na 5 let</t>
  </si>
  <si>
    <t xml:space="preserve">kontrola kotvení a příček (stavu, funkčnosti a pevnosti),  včetně práce a materiálu potřebného k výměně nebo doplnění; 1 x ročně pro všechny výsadby, na 5 let  </t>
  </si>
  <si>
    <t>odstranění kotvení (z kůlů a příček), v 5. roce</t>
  </si>
  <si>
    <t>kontrola úvazků kmene a rohože z rákosu, včetně materiálu a práce potřebné k výměně nebo doplnění; první 2 roky 2x ročně, potom 1 x ročně</t>
  </si>
  <si>
    <t>převázání úvazků od 2. roku výsadby, upravení  rohoží; 1 x ročně</t>
  </si>
  <si>
    <t>odstranění úvazků ve 4. roce výsadby (zbytek kotvení ponechat)</t>
  </si>
  <si>
    <t>odstranění rákosové rohože, ve 3.roce po výsadbě</t>
  </si>
  <si>
    <t>kontrola stavu a funkčnosti bambusových tyčí u jerlínů, včetně úpravy, práce a materiálu potřebné k doplnění nebo úpravě; 1 x ročně na 5 let</t>
  </si>
  <si>
    <t>odstranění bambusových tyčí u jerlínů; ve 4.roce</t>
  </si>
  <si>
    <t>výměna horní vrstvy ze štěrku v rabatech — odebrání  7cm vrstvy štěrku a podkladní textilie, s odvozem na skládku a instalací nové vrstvy podkladní geotextilie a nové vrstvy (7cm) štěrku (dle specifikace v PD)- po 5 letech od výsadby</t>
  </si>
  <si>
    <t xml:space="preserve">Celkem </t>
  </si>
  <si>
    <t>odstranění plevelů z výsadbové mísy vypletím, včetně odvozu biomasy odpadu; 2 x ročně, na 5 let</t>
  </si>
  <si>
    <t>odstranění výmladků u stromu;  2 x ročně, na 5 let</t>
  </si>
  <si>
    <t>výchovný řez stromu, od 2. roku po výsadbě (včetně vyvětvení do 2,5m výšky); 1 x ročně</t>
  </si>
  <si>
    <t>čištění povrchu výsadbové mísy, odstranění odpadu a nečistot, kontrola stavu stromořadí – 12x/rok, na 5 let</t>
  </si>
  <si>
    <t xml:space="preserve">kontrola kotvení a příček (stavu, funkčnosti a pevnosti), včetně práce a materiálu potřebného k výměně nebo doplnění;; 1 x ročně pro 1/3 počtu, na 5 let  </t>
  </si>
  <si>
    <t>odstranění kotvení z kůlů a příček; v 5.roce</t>
  </si>
  <si>
    <t>kontrola úvazků kmene a rákosu, včetně materiálu a práce potřebné k výměně nebo doplnění;  první 2 roky 2x ročně, potom 1 x ročně</t>
  </si>
  <si>
    <t>převázání úvazků od 2.roku výsadby, upravení  rohoží; 1 x ročně</t>
  </si>
  <si>
    <t>odstranění úvazků ve 4.roce výsadby (zbytek/kotvení ponechat)</t>
  </si>
  <si>
    <t>doplnění mulče ve výsadbových mísách, včetně materiálu;  1 x ročně, pro 1/3 počtu  na 5 let</t>
  </si>
  <si>
    <t>rozhrnutí mulče z výsadbových mís  po 5 letech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</si>
</sst>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dd/mm/yy"/>
    <numFmt numFmtId="167" formatCode="#,##0.00;[Red]\-#,##0.00"/>
    <numFmt numFmtId="168" formatCode="#,##0&quot; Kč&quot;"/>
    <numFmt numFmtId="169" formatCode="#,##0.00&quot; Kč&quot;;[Red]\-#,##0.00&quot; Kč&quot;"/>
  </numFmts>
  <fonts count="51">
    <font>
      <sz val="10"/>
      <name val="Arial CE"/>
      <family val="2"/>
    </font>
    <font>
      <sz val="10"/>
      <name val="Arial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color indexed="21"/>
      <name val="Arial CE"/>
      <family val="2"/>
    </font>
    <font>
      <b/>
      <sz val="9"/>
      <color indexed="8"/>
      <name val="Arial CE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53"/>
      <name val="Arial"/>
      <family val="2"/>
    </font>
    <font>
      <b/>
      <i/>
      <sz val="9"/>
      <name val="Arial"/>
      <family val="2"/>
    </font>
    <font>
      <b/>
      <sz val="9"/>
      <color indexed="56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color indexed="16"/>
      <name val="Arial"/>
      <family val="2"/>
    </font>
    <font>
      <sz val="8"/>
      <name val="Arial CE"/>
      <family val="2"/>
    </font>
    <font>
      <b/>
      <sz val="11"/>
      <color indexed="12"/>
      <name val="Arial Narrow"/>
      <family val="2"/>
    </font>
    <font>
      <sz val="11"/>
      <color indexed="62"/>
      <name val="Arial Narrow"/>
      <family val="2"/>
    </font>
    <font>
      <sz val="8"/>
      <color indexed="62"/>
      <name val="Arial"/>
      <family val="2"/>
    </font>
    <font>
      <b/>
      <sz val="8"/>
      <color indexed="14"/>
      <name val="Arial"/>
      <family val="2"/>
    </font>
    <font>
      <sz val="8"/>
      <color indexed="8"/>
      <name val="Arial CE"/>
      <family val="2"/>
    </font>
    <font>
      <sz val="8"/>
      <color indexed="14"/>
      <name val="Arial"/>
      <family val="2"/>
    </font>
    <font>
      <b/>
      <sz val="8"/>
      <color indexed="8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62"/>
      <name val="Arial"/>
      <family val="2"/>
    </font>
    <font>
      <b/>
      <sz val="11"/>
      <color indexed="62"/>
      <name val="Arial Narrow"/>
      <family val="2"/>
    </font>
    <font>
      <b/>
      <i/>
      <sz val="9"/>
      <color indexed="57"/>
      <name val="Arial"/>
      <family val="2"/>
    </font>
    <font>
      <i/>
      <sz val="9"/>
      <color indexed="57"/>
      <name val="Arial"/>
      <family val="2"/>
    </font>
    <font>
      <sz val="9"/>
      <color indexed="57"/>
      <name val="Arial"/>
      <family val="2"/>
    </font>
    <font>
      <b/>
      <sz val="9"/>
      <color indexed="57"/>
      <name val="Arial"/>
      <family val="2"/>
    </font>
    <font>
      <b/>
      <sz val="11"/>
      <color indexed="57"/>
      <name val="Arial Narrow"/>
      <family val="2"/>
    </font>
    <font>
      <sz val="11"/>
      <color indexed="57"/>
      <name val="Arial Narrow"/>
      <family val="2"/>
    </font>
    <font>
      <sz val="10"/>
      <name val="Arial Narrow"/>
      <family val="2"/>
    </font>
    <font>
      <b/>
      <sz val="9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Border="0" applyAlignment="0">
      <protection/>
    </xf>
    <xf numFmtId="16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Border="0" applyAlignment="0">
      <protection/>
    </xf>
  </cellStyleXfs>
  <cellXfs count="27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4" fontId="13" fillId="0" borderId="0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8" fillId="0" borderId="5" xfId="0" applyFont="1" applyFill="1" applyBorder="1" applyAlignment="1">
      <alignment wrapText="1"/>
    </xf>
    <xf numFmtId="4" fontId="7" fillId="0" borderId="0" xfId="0" applyNumberFormat="1" applyFont="1" applyBorder="1" applyAlignment="1">
      <alignment/>
    </xf>
    <xf numFmtId="0" fontId="7" fillId="0" borderId="7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wrapText="1"/>
    </xf>
    <xf numFmtId="4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65" fontId="13" fillId="0" borderId="0" xfId="0" applyNumberFormat="1" applyFont="1" applyBorder="1" applyAlignment="1">
      <alignment/>
    </xf>
    <xf numFmtId="0" fontId="13" fillId="0" borderId="5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1" fontId="7" fillId="0" borderId="7" xfId="0" applyNumberFormat="1" applyFont="1" applyFill="1" applyBorder="1" applyAlignment="1">
      <alignment wrapText="1"/>
    </xf>
    <xf numFmtId="0" fontId="7" fillId="0" borderId="8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" fontId="13" fillId="0" borderId="5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4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4" fontId="19" fillId="0" borderId="5" xfId="0" applyNumberFormat="1" applyFont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14" fillId="0" borderId="1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3" fillId="0" borderId="8" xfId="0" applyFont="1" applyBorder="1" applyAlignment="1">
      <alignment horizontal="center"/>
    </xf>
    <xf numFmtId="0" fontId="14" fillId="0" borderId="7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13" fillId="0" borderId="17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5" xfId="0" applyFont="1" applyBorder="1" applyAlignment="1">
      <alignment horizontal="center"/>
    </xf>
    <xf numFmtId="0" fontId="21" fillId="0" borderId="13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9" fontId="13" fillId="3" borderId="19" xfId="0" applyNumberFormat="1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 wrapText="1"/>
    </xf>
    <xf numFmtId="0" fontId="13" fillId="3" borderId="20" xfId="0" applyFont="1" applyFill="1" applyBorder="1" applyAlignment="1">
      <alignment horizontal="center"/>
    </xf>
    <xf numFmtId="167" fontId="13" fillId="3" borderId="20" xfId="15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/>
    </xf>
    <xf numFmtId="49" fontId="13" fillId="3" borderId="21" xfId="0" applyNumberFormat="1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 wrapText="1"/>
    </xf>
    <xf numFmtId="0" fontId="13" fillId="3" borderId="22" xfId="0" applyFont="1" applyFill="1" applyBorder="1" applyAlignment="1">
      <alignment horizontal="center"/>
    </xf>
    <xf numFmtId="167" fontId="13" fillId="3" borderId="22" xfId="15" applyFont="1" applyFill="1" applyBorder="1" applyAlignment="1" applyProtection="1">
      <alignment horizontal="center"/>
      <protection/>
    </xf>
    <xf numFmtId="0" fontId="13" fillId="3" borderId="23" xfId="0" applyFont="1" applyFill="1" applyBorder="1" applyAlignment="1">
      <alignment/>
    </xf>
    <xf numFmtId="0" fontId="13" fillId="3" borderId="24" xfId="0" applyFont="1" applyFill="1" applyBorder="1" applyAlignment="1">
      <alignment/>
    </xf>
    <xf numFmtId="165" fontId="13" fillId="3" borderId="23" xfId="17" applyNumberFormat="1" applyFont="1" applyFill="1" applyBorder="1" applyAlignment="1">
      <alignment/>
      <protection/>
    </xf>
    <xf numFmtId="165" fontId="13" fillId="3" borderId="25" xfId="21" applyNumberFormat="1" applyFont="1" applyFill="1" applyBorder="1" applyAlignment="1">
      <alignment/>
      <protection/>
    </xf>
    <xf numFmtId="49" fontId="13" fillId="3" borderId="26" xfId="0" applyNumberFormat="1" applyFont="1" applyFill="1" applyBorder="1" applyAlignment="1">
      <alignment horizontal="center"/>
    </xf>
    <xf numFmtId="0" fontId="13" fillId="3" borderId="23" xfId="0" applyFont="1" applyFill="1" applyBorder="1" applyAlignment="1">
      <alignment horizontal="left" wrapText="1"/>
    </xf>
    <xf numFmtId="0" fontId="13" fillId="3" borderId="23" xfId="0" applyFont="1" applyFill="1" applyBorder="1" applyAlignment="1">
      <alignment horizontal="center"/>
    </xf>
    <xf numFmtId="167" fontId="13" fillId="3" borderId="23" xfId="15" applyFont="1" applyFill="1" applyBorder="1" applyAlignment="1" applyProtection="1">
      <alignment horizontal="center"/>
      <protection/>
    </xf>
    <xf numFmtId="165" fontId="13" fillId="3" borderId="23" xfId="17" applyNumberFormat="1" applyFont="1" applyFill="1" applyBorder="1" applyAlignment="1">
      <alignment horizontal="center"/>
      <protection/>
    </xf>
    <xf numFmtId="165" fontId="13" fillId="3" borderId="26" xfId="21" applyNumberFormat="1" applyFont="1" applyFill="1" applyBorder="1" applyAlignment="1">
      <alignment horizontal="center"/>
      <protection/>
    </xf>
    <xf numFmtId="49" fontId="13" fillId="3" borderId="27" xfId="0" applyNumberFormat="1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 wrapText="1"/>
    </xf>
    <xf numFmtId="0" fontId="13" fillId="3" borderId="27" xfId="0" applyFont="1" applyFill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9" fillId="0" borderId="19" xfId="0" applyFont="1" applyFill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19" xfId="0" applyFont="1" applyBorder="1" applyAlignment="1">
      <alignment/>
    </xf>
    <xf numFmtId="4" fontId="13" fillId="0" borderId="19" xfId="0" applyNumberFormat="1" applyFont="1" applyBorder="1" applyAlignment="1">
      <alignment/>
    </xf>
    <xf numFmtId="165" fontId="13" fillId="0" borderId="4" xfId="0" applyNumberFormat="1" applyFont="1" applyBorder="1" applyAlignment="1">
      <alignment/>
    </xf>
    <xf numFmtId="165" fontId="13" fillId="0" borderId="19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4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165" fontId="45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169" fontId="7" fillId="0" borderId="0" xfId="18" applyFont="1" applyFill="1" applyBorder="1" applyAlignment="1" applyProtection="1">
      <alignment/>
      <protection/>
    </xf>
    <xf numFmtId="0" fontId="49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165" fontId="22" fillId="0" borderId="0" xfId="0" applyNumberFormat="1" applyFont="1" applyFill="1" applyAlignment="1">
      <alignment/>
    </xf>
    <xf numFmtId="0" fontId="9" fillId="0" borderId="16" xfId="0" applyFont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28" xfId="0" applyFont="1" applyBorder="1" applyAlignment="1">
      <alignment/>
    </xf>
    <xf numFmtId="4" fontId="13" fillId="0" borderId="28" xfId="0" applyNumberFormat="1" applyFont="1" applyBorder="1" applyAlignment="1">
      <alignment/>
    </xf>
    <xf numFmtId="165" fontId="13" fillId="0" borderId="28" xfId="0" applyNumberFormat="1" applyFont="1" applyBorder="1" applyAlignment="1">
      <alignment/>
    </xf>
    <xf numFmtId="0" fontId="13" fillId="0" borderId="28" xfId="0" applyFont="1" applyFill="1" applyBorder="1" applyAlignment="1">
      <alignment wrapText="1"/>
    </xf>
    <xf numFmtId="0" fontId="13" fillId="0" borderId="28" xfId="0" applyFont="1" applyFill="1" applyBorder="1" applyAlignment="1">
      <alignment horizontal="center"/>
    </xf>
    <xf numFmtId="0" fontId="25" fillId="0" borderId="28" xfId="0" applyFont="1" applyFill="1" applyBorder="1" applyAlignment="1">
      <alignment/>
    </xf>
    <xf numFmtId="0" fontId="13" fillId="0" borderId="28" xfId="0" applyFont="1" applyFill="1" applyBorder="1" applyAlignment="1">
      <alignment horizontal="right"/>
    </xf>
    <xf numFmtId="0" fontId="13" fillId="0" borderId="28" xfId="0" applyFont="1" applyFill="1" applyBorder="1" applyAlignment="1">
      <alignment/>
    </xf>
    <xf numFmtId="2" fontId="13" fillId="0" borderId="28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6" fillId="0" borderId="28" xfId="0" applyFont="1" applyFill="1" applyBorder="1" applyAlignment="1">
      <alignment wrapText="1"/>
    </xf>
    <xf numFmtId="0" fontId="27" fillId="0" borderId="28" xfId="0" applyFont="1" applyFill="1" applyBorder="1" applyAlignment="1">
      <alignment/>
    </xf>
    <xf numFmtId="0" fontId="9" fillId="0" borderId="28" xfId="0" applyFont="1" applyFill="1" applyBorder="1" applyAlignment="1">
      <alignment wrapText="1"/>
    </xf>
    <xf numFmtId="0" fontId="28" fillId="0" borderId="28" xfId="0" applyFont="1" applyFill="1" applyBorder="1" applyAlignment="1">
      <alignment wrapText="1"/>
    </xf>
    <xf numFmtId="0" fontId="28" fillId="0" borderId="28" xfId="0" applyFont="1" applyFill="1" applyBorder="1" applyAlignment="1">
      <alignment horizontal="center"/>
    </xf>
    <xf numFmtId="0" fontId="29" fillId="0" borderId="28" xfId="0" applyFont="1" applyFill="1" applyBorder="1" applyAlignment="1">
      <alignment/>
    </xf>
    <xf numFmtId="0" fontId="25" fillId="0" borderId="28" xfId="0" applyFont="1" applyFill="1" applyBorder="1" applyAlignment="1">
      <alignment wrapText="1"/>
    </xf>
    <xf numFmtId="0" fontId="13" fillId="0" borderId="28" xfId="0" applyFont="1" applyBorder="1" applyAlignment="1">
      <alignment wrapText="1"/>
    </xf>
    <xf numFmtId="0" fontId="8" fillId="0" borderId="28" xfId="0" applyFont="1" applyFill="1" applyBorder="1" applyAlignment="1">
      <alignment/>
    </xf>
    <xf numFmtId="0" fontId="25" fillId="0" borderId="28" xfId="0" applyFont="1" applyFill="1" applyBorder="1" applyAlignment="1">
      <alignment horizontal="center"/>
    </xf>
    <xf numFmtId="0" fontId="29" fillId="0" borderId="28" xfId="0" applyFont="1" applyFill="1" applyBorder="1" applyAlignment="1">
      <alignment wrapText="1"/>
    </xf>
    <xf numFmtId="0" fontId="25" fillId="0" borderId="28" xfId="0" applyFont="1" applyFill="1" applyBorder="1" applyAlignment="1">
      <alignment wrapText="1"/>
    </xf>
    <xf numFmtId="0" fontId="31" fillId="0" borderId="28" xfId="0" applyFont="1" applyBorder="1" applyAlignment="1">
      <alignment wrapText="1"/>
    </xf>
    <xf numFmtId="0" fontId="21" fillId="0" borderId="28" xfId="0" applyFont="1" applyFill="1" applyBorder="1" applyAlignment="1">
      <alignment/>
    </xf>
    <xf numFmtId="0" fontId="25" fillId="0" borderId="28" xfId="0" applyFont="1" applyFill="1" applyBorder="1" applyAlignment="1">
      <alignment horizontal="right"/>
    </xf>
    <xf numFmtId="0" fontId="31" fillId="0" borderId="28" xfId="0" applyFont="1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 wrapText="1"/>
    </xf>
    <xf numFmtId="0" fontId="31" fillId="0" borderId="28" xfId="0" applyFont="1" applyBorder="1" applyAlignment="1">
      <alignment horizontal="center"/>
    </xf>
    <xf numFmtId="0" fontId="36" fillId="0" borderId="28" xfId="0" applyFont="1" applyBorder="1" applyAlignment="1">
      <alignment wrapText="1"/>
    </xf>
    <xf numFmtId="0" fontId="28" fillId="0" borderId="28" xfId="0" applyFont="1" applyBorder="1" applyAlignment="1">
      <alignment/>
    </xf>
    <xf numFmtId="2" fontId="13" fillId="0" borderId="28" xfId="0" applyNumberFormat="1" applyFont="1" applyFill="1" applyBorder="1" applyAlignment="1">
      <alignment horizontal="right"/>
    </xf>
    <xf numFmtId="1" fontId="25" fillId="0" borderId="28" xfId="0" applyNumberFormat="1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19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4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8" xfId="0" applyFont="1" applyBorder="1" applyAlignment="1" applyProtection="1">
      <alignment/>
      <protection locked="0"/>
    </xf>
    <xf numFmtId="0" fontId="4" fillId="0" borderId="28" xfId="0" applyFont="1" applyBorder="1" applyAlignment="1">
      <alignment horizontal="center"/>
    </xf>
    <xf numFmtId="3" fontId="4" fillId="0" borderId="28" xfId="0" applyNumberFormat="1" applyFont="1" applyBorder="1" applyAlignment="1" applyProtection="1">
      <alignment/>
      <protection locked="0"/>
    </xf>
    <xf numFmtId="0" fontId="7" fillId="0" borderId="28" xfId="0" applyFont="1" applyFill="1" applyBorder="1" applyAlignment="1">
      <alignment wrapText="1"/>
    </xf>
    <xf numFmtId="3" fontId="2" fillId="0" borderId="28" xfId="0" applyNumberFormat="1" applyFont="1" applyBorder="1" applyAlignment="1" applyProtection="1">
      <alignment/>
      <protection locked="0"/>
    </xf>
    <xf numFmtId="4" fontId="13" fillId="0" borderId="28" xfId="0" applyNumberFormat="1" applyFont="1" applyFill="1" applyBorder="1" applyAlignment="1" applyProtection="1">
      <alignment/>
      <protection locked="0"/>
    </xf>
    <xf numFmtId="4" fontId="13" fillId="0" borderId="28" xfId="0" applyNumberFormat="1" applyFont="1" applyBorder="1" applyAlignment="1" applyProtection="1">
      <alignment/>
      <protection locked="0"/>
    </xf>
    <xf numFmtId="165" fontId="13" fillId="0" borderId="28" xfId="0" applyNumberFormat="1" applyFont="1" applyFill="1" applyBorder="1" applyAlignment="1" applyProtection="1">
      <alignment/>
      <protection locked="0"/>
    </xf>
    <xf numFmtId="165" fontId="13" fillId="0" borderId="28" xfId="0" applyNumberFormat="1" applyFont="1" applyBorder="1" applyAlignment="1" applyProtection="1">
      <alignment/>
      <protection locked="0"/>
    </xf>
    <xf numFmtId="4" fontId="21" fillId="0" borderId="28" xfId="0" applyNumberFormat="1" applyFont="1" applyFill="1" applyBorder="1" applyAlignment="1" applyProtection="1">
      <alignment/>
      <protection locked="0"/>
    </xf>
    <xf numFmtId="4" fontId="25" fillId="0" borderId="28" xfId="0" applyNumberFormat="1" applyFont="1" applyFill="1" applyBorder="1" applyAlignment="1" applyProtection="1">
      <alignment/>
      <protection locked="0"/>
    </xf>
    <xf numFmtId="4" fontId="9" fillId="0" borderId="28" xfId="0" applyNumberFormat="1" applyFont="1" applyFill="1" applyBorder="1" applyAlignment="1" applyProtection="1">
      <alignment/>
      <protection locked="0"/>
    </xf>
    <xf numFmtId="4" fontId="26" fillId="0" borderId="28" xfId="0" applyNumberFormat="1" applyFont="1" applyFill="1" applyBorder="1" applyAlignment="1" applyProtection="1">
      <alignment/>
      <protection locked="0"/>
    </xf>
    <xf numFmtId="4" fontId="28" fillId="0" borderId="28" xfId="0" applyNumberFormat="1" applyFont="1" applyFill="1" applyBorder="1" applyAlignment="1" applyProtection="1">
      <alignment/>
      <protection locked="0"/>
    </xf>
    <xf numFmtId="165" fontId="25" fillId="0" borderId="28" xfId="0" applyNumberFormat="1" applyFont="1" applyFill="1" applyBorder="1" applyAlignment="1" applyProtection="1">
      <alignment/>
      <protection locked="0"/>
    </xf>
    <xf numFmtId="4" fontId="30" fillId="0" borderId="28" xfId="0" applyNumberFormat="1" applyFont="1" applyFill="1" applyBorder="1" applyAlignment="1" applyProtection="1">
      <alignment/>
      <protection locked="0"/>
    </xf>
    <xf numFmtId="4" fontId="27" fillId="0" borderId="28" xfId="0" applyNumberFormat="1" applyFont="1" applyFill="1" applyBorder="1" applyAlignment="1" applyProtection="1">
      <alignment/>
      <protection locked="0"/>
    </xf>
    <xf numFmtId="4" fontId="29" fillId="0" borderId="28" xfId="0" applyNumberFormat="1" applyFont="1" applyFill="1" applyBorder="1" applyAlignment="1" applyProtection="1">
      <alignment/>
      <protection locked="0"/>
    </xf>
    <xf numFmtId="165" fontId="29" fillId="0" borderId="28" xfId="0" applyNumberFormat="1" applyFont="1" applyFill="1" applyBorder="1" applyAlignment="1" applyProtection="1">
      <alignment/>
      <protection locked="0"/>
    </xf>
    <xf numFmtId="165" fontId="28" fillId="0" borderId="28" xfId="0" applyNumberFormat="1" applyFont="1" applyFill="1" applyBorder="1" applyAlignment="1" applyProtection="1">
      <alignment/>
      <protection locked="0"/>
    </xf>
    <xf numFmtId="165" fontId="34" fillId="0" borderId="28" xfId="0" applyNumberFormat="1" applyFont="1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31" fillId="0" borderId="28" xfId="0" applyFont="1" applyBorder="1" applyAlignment="1" applyProtection="1">
      <alignment horizontal="center"/>
      <protection locked="0"/>
    </xf>
    <xf numFmtId="4" fontId="31" fillId="0" borderId="28" xfId="0" applyNumberFormat="1" applyFont="1" applyBorder="1" applyAlignment="1" applyProtection="1">
      <alignment/>
      <protection locked="0"/>
    </xf>
    <xf numFmtId="4" fontId="31" fillId="0" borderId="28" xfId="0" applyNumberFormat="1" applyFont="1" applyFill="1" applyBorder="1" applyAlignment="1" applyProtection="1">
      <alignment/>
      <protection locked="0"/>
    </xf>
    <xf numFmtId="165" fontId="37" fillId="0" borderId="28" xfId="0" applyNumberFormat="1" applyFont="1" applyFill="1" applyBorder="1" applyAlignment="1" applyProtection="1">
      <alignment/>
      <protection locked="0"/>
    </xf>
    <xf numFmtId="0" fontId="13" fillId="0" borderId="28" xfId="0" applyFont="1" applyFill="1" applyBorder="1" applyAlignment="1" applyProtection="1">
      <alignment horizontal="center"/>
      <protection locked="0"/>
    </xf>
    <xf numFmtId="4" fontId="37" fillId="0" borderId="28" xfId="0" applyNumberFormat="1" applyFont="1" applyFill="1" applyBorder="1" applyAlignment="1" applyProtection="1">
      <alignment/>
      <protection locked="0"/>
    </xf>
    <xf numFmtId="4" fontId="38" fillId="0" borderId="28" xfId="0" applyNumberFormat="1" applyFont="1" applyFill="1" applyBorder="1" applyAlignment="1" applyProtection="1">
      <alignment/>
      <protection locked="0"/>
    </xf>
    <xf numFmtId="3" fontId="25" fillId="0" borderId="28" xfId="0" applyNumberFormat="1" applyFont="1" applyFill="1" applyBorder="1" applyAlignment="1" applyProtection="1">
      <alignment/>
      <protection locked="0"/>
    </xf>
    <xf numFmtId="0" fontId="25" fillId="0" borderId="28" xfId="0" applyFont="1" applyFill="1" applyBorder="1" applyAlignment="1" applyProtection="1">
      <alignment/>
      <protection locked="0"/>
    </xf>
    <xf numFmtId="0" fontId="13" fillId="0" borderId="28" xfId="0" applyFont="1" applyFill="1" applyBorder="1" applyAlignment="1" applyProtection="1">
      <alignment/>
      <protection locked="0"/>
    </xf>
    <xf numFmtId="0" fontId="13" fillId="3" borderId="19" xfId="0" applyFont="1" applyFill="1" applyBorder="1" applyAlignment="1">
      <alignment horizontal="center"/>
    </xf>
    <xf numFmtId="165" fontId="13" fillId="3" borderId="19" xfId="17" applyNumberFormat="1" applyFont="1" applyFill="1" applyBorder="1" applyAlignment="1">
      <alignment horizontal="center"/>
      <protection/>
    </xf>
    <xf numFmtId="0" fontId="12" fillId="0" borderId="28" xfId="0" applyFont="1" applyFill="1" applyBorder="1" applyAlignment="1">
      <alignment/>
    </xf>
    <xf numFmtId="4" fontId="13" fillId="0" borderId="28" xfId="0" applyNumberFormat="1" applyFont="1" applyBorder="1" applyAlignment="1">
      <alignment horizontal="center"/>
    </xf>
    <xf numFmtId="1" fontId="14" fillId="0" borderId="28" xfId="0" applyNumberFormat="1" applyFont="1" applyFill="1" applyBorder="1" applyAlignment="1">
      <alignment wrapText="1"/>
    </xf>
    <xf numFmtId="4" fontId="14" fillId="0" borderId="28" xfId="0" applyNumberFormat="1" applyFont="1" applyBorder="1" applyAlignment="1">
      <alignment horizontal="center"/>
    </xf>
    <xf numFmtId="1" fontId="14" fillId="0" borderId="28" xfId="0" applyNumberFormat="1" applyFont="1" applyBorder="1" applyAlignment="1">
      <alignment horizontal="center"/>
    </xf>
    <xf numFmtId="1" fontId="7" fillId="0" borderId="28" xfId="0" applyNumberFormat="1" applyFont="1" applyFill="1" applyBorder="1" applyAlignment="1">
      <alignment wrapText="1"/>
    </xf>
    <xf numFmtId="4" fontId="7" fillId="0" borderId="28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15" fillId="0" borderId="28" xfId="0" applyNumberFormat="1" applyFont="1" applyFill="1" applyBorder="1" applyAlignment="1">
      <alignment wrapText="1"/>
    </xf>
    <xf numFmtId="1" fontId="7" fillId="0" borderId="28" xfId="0" applyNumberFormat="1" applyFont="1" applyBorder="1" applyAlignment="1">
      <alignment/>
    </xf>
    <xf numFmtId="0" fontId="8" fillId="0" borderId="28" xfId="0" applyFont="1" applyFill="1" applyBorder="1" applyAlignment="1">
      <alignment wrapText="1"/>
    </xf>
    <xf numFmtId="1" fontId="16" fillId="0" borderId="28" xfId="0" applyNumberFormat="1" applyFont="1" applyFill="1" applyBorder="1" applyAlignment="1">
      <alignment wrapText="1"/>
    </xf>
    <xf numFmtId="4" fontId="7" fillId="0" borderId="28" xfId="0" applyNumberFormat="1" applyFont="1" applyBorder="1" applyAlignment="1">
      <alignment/>
    </xf>
    <xf numFmtId="0" fontId="7" fillId="0" borderId="28" xfId="0" applyFont="1" applyFill="1" applyBorder="1" applyAlignment="1">
      <alignment/>
    </xf>
    <xf numFmtId="4" fontId="1" fillId="0" borderId="2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čtyřimísta" xfId="17"/>
    <cellStyle name="Currency" xfId="18"/>
    <cellStyle name="Currency [0]" xfId="19"/>
    <cellStyle name="Percent" xfId="20"/>
    <cellStyle name="třimíst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33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F26"/>
  <sheetViews>
    <sheetView tabSelected="1" view="pageBreakPreview" zoomScaleNormal="125" zoomScaleSheetLayoutView="100" workbookViewId="0" topLeftCell="A1">
      <selection activeCell="B10" sqref="B10"/>
    </sheetView>
  </sheetViews>
  <sheetFormatPr defaultColWidth="9.00390625" defaultRowHeight="12.75"/>
  <cols>
    <col min="1" max="1" width="7.125" style="0" customWidth="1"/>
    <col min="2" max="2" width="47.25390625" style="0" customWidth="1"/>
    <col min="3" max="3" width="10.375" style="0" customWidth="1"/>
    <col min="4" max="4" width="10.125" style="0" customWidth="1"/>
    <col min="5" max="16384" width="11.625" style="0" customWidth="1"/>
  </cols>
  <sheetData>
    <row r="2" spans="1:4" ht="24">
      <c r="A2" s="1"/>
      <c r="B2" s="2" t="s">
        <v>0</v>
      </c>
      <c r="C2" s="3"/>
      <c r="D2" s="4"/>
    </row>
    <row r="3" spans="1:4" ht="33.75">
      <c r="A3" s="1"/>
      <c r="B3" s="219" t="s">
        <v>1</v>
      </c>
      <c r="C3" s="220" t="s">
        <v>2</v>
      </c>
      <c r="D3" s="221" t="s">
        <v>3</v>
      </c>
    </row>
    <row r="4" spans="1:4" ht="12.75">
      <c r="A4" s="222"/>
      <c r="B4" s="223"/>
      <c r="C4" s="224"/>
      <c r="D4" s="224"/>
    </row>
    <row r="5" spans="1:4" ht="12.75">
      <c r="A5" s="225">
        <v>1</v>
      </c>
      <c r="B5" s="184" t="s">
        <v>4</v>
      </c>
      <c r="C5" s="226"/>
      <c r="D5" s="226"/>
    </row>
    <row r="6" spans="1:4" ht="12.75">
      <c r="A6" s="225">
        <v>2</v>
      </c>
      <c r="B6" s="184" t="s">
        <v>5</v>
      </c>
      <c r="C6" s="226"/>
      <c r="D6" s="226"/>
    </row>
    <row r="7" spans="1:4" ht="12.75">
      <c r="A7" s="225">
        <v>3</v>
      </c>
      <c r="B7" s="196" t="s">
        <v>6</v>
      </c>
      <c r="C7" s="226"/>
      <c r="D7" s="226"/>
    </row>
    <row r="8" spans="1:5" ht="12.75">
      <c r="A8" s="225">
        <v>4</v>
      </c>
      <c r="B8" s="184" t="s">
        <v>7</v>
      </c>
      <c r="C8" s="226"/>
      <c r="D8" s="226"/>
      <c r="E8" s="7"/>
    </row>
    <row r="9" spans="1:6" ht="12.75">
      <c r="A9" s="225">
        <v>5</v>
      </c>
      <c r="B9" s="204" t="s">
        <v>8</v>
      </c>
      <c r="C9" s="226"/>
      <c r="D9" s="226"/>
      <c r="E9" s="7"/>
      <c r="F9" s="8"/>
    </row>
    <row r="10" spans="1:5" ht="24">
      <c r="A10" s="225">
        <v>6</v>
      </c>
      <c r="B10" s="196" t="s">
        <v>9</v>
      </c>
      <c r="C10" s="226"/>
      <c r="D10" s="226"/>
      <c r="E10" s="7"/>
    </row>
    <row r="11" spans="1:5" ht="12.75">
      <c r="A11" s="225">
        <v>7</v>
      </c>
      <c r="B11" s="204" t="s">
        <v>10</v>
      </c>
      <c r="C11" s="226"/>
      <c r="D11" s="226"/>
      <c r="E11" s="7"/>
    </row>
    <row r="12" spans="1:5" ht="24">
      <c r="A12" s="225">
        <v>8</v>
      </c>
      <c r="B12" s="196" t="s">
        <v>11</v>
      </c>
      <c r="C12" s="226"/>
      <c r="D12" s="226"/>
      <c r="E12" s="7"/>
    </row>
    <row r="13" spans="1:5" ht="24">
      <c r="A13" s="225">
        <v>9</v>
      </c>
      <c r="B13" s="196" t="s">
        <v>12</v>
      </c>
      <c r="C13" s="226"/>
      <c r="D13" s="226"/>
      <c r="E13" s="7"/>
    </row>
    <row r="14" spans="1:5" ht="12.75">
      <c r="A14" s="225"/>
      <c r="B14" s="198"/>
      <c r="C14" s="226"/>
      <c r="D14" s="226"/>
      <c r="E14" s="7"/>
    </row>
    <row r="15" spans="1:5" ht="12.75">
      <c r="A15" s="225"/>
      <c r="B15" s="227"/>
      <c r="C15" s="226"/>
      <c r="D15" s="226"/>
      <c r="E15" s="7"/>
    </row>
    <row r="16" spans="1:5" ht="12.75">
      <c r="A16" s="225"/>
      <c r="B16" s="184" t="s">
        <v>13</v>
      </c>
      <c r="C16" s="228"/>
      <c r="D16" s="228"/>
      <c r="E16" s="7"/>
    </row>
    <row r="17" spans="1:5" ht="12.75">
      <c r="A17" s="10"/>
      <c r="B17" s="11"/>
      <c r="C17" s="12"/>
      <c r="D17" s="13"/>
      <c r="E17" s="7"/>
    </row>
    <row r="18" spans="1:5" ht="12.75">
      <c r="A18" s="10"/>
      <c r="B18" s="11"/>
      <c r="C18" s="12"/>
      <c r="D18" s="13"/>
      <c r="E18" s="7"/>
    </row>
    <row r="19" spans="1:5" ht="12.75">
      <c r="A19" s="14"/>
      <c r="B19" s="15"/>
      <c r="C19" s="13"/>
      <c r="D19" s="13"/>
      <c r="E19" s="7"/>
    </row>
    <row r="20" spans="1:5" ht="12.75">
      <c r="A20" s="14"/>
      <c r="B20" s="16"/>
      <c r="C20" s="12"/>
      <c r="D20" s="13"/>
      <c r="E20" s="7"/>
    </row>
    <row r="21" spans="1:5" ht="12.75">
      <c r="A21" s="14"/>
      <c r="B21" s="17"/>
      <c r="C21" s="13"/>
      <c r="D21" s="13"/>
      <c r="E21" s="7"/>
    </row>
    <row r="22" spans="1:5" ht="12.75">
      <c r="A22" s="10"/>
      <c r="B22" s="18"/>
      <c r="C22" s="12"/>
      <c r="D22" s="13"/>
      <c r="E22" s="7"/>
    </row>
    <row r="23" spans="1:5" ht="12.75">
      <c r="A23" s="10"/>
      <c r="B23" s="19"/>
      <c r="C23" s="20"/>
      <c r="D23" s="20"/>
      <c r="E23" s="7"/>
    </row>
    <row r="24" spans="1:5" ht="12.75">
      <c r="A24" s="21"/>
      <c r="B24" s="22"/>
      <c r="C24" s="22"/>
      <c r="D24" s="22"/>
      <c r="E24" s="7"/>
    </row>
    <row r="25" spans="1:5" ht="12.75">
      <c r="A25" s="22"/>
      <c r="B25" s="23"/>
      <c r="C25" s="24"/>
      <c r="D25" s="24"/>
      <c r="E25" s="7"/>
    </row>
    <row r="26" ht="12.75">
      <c r="C26" s="7"/>
    </row>
  </sheetData>
  <sheetProtection password="9CF8" sheet="1" objects="1" scenarios="1"/>
  <printOptions/>
  <pageMargins left="0.7875" right="0.7875" top="1.1777777777777778" bottom="1.4277777777777776" header="0.7875" footer="0.7875"/>
  <pageSetup horizontalDpi="300" verticalDpi="300" orientation="portrait" paperSize="9" r:id="rId1"/>
  <headerFooter alignWithMargins="0">
    <oddHeader>&amp;R&amp;"Tahoma,obyčejné"&amp;9Rekapitulace
Výkaz výměr</oddHeader>
    <oddFooter>&amp;C&amp;"Tahoma,obyčejné"&amp;9Stránka &amp;P&amp;R&amp;"Tahoma,obyčejné"&amp;9II.etapa rekonstrukce stromořadí - Janáčkovo nábřeží
Jednostupňový projekt pro realizaci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I370"/>
  <sheetViews>
    <sheetView view="pageBreakPreview" zoomScaleNormal="125" zoomScaleSheetLayoutView="100" workbookViewId="0" topLeftCell="A1">
      <pane ySplit="4" topLeftCell="BM5" activePane="bottomLeft" state="frozen"/>
      <selection pane="topLeft" activeCell="A1" sqref="A1"/>
      <selection pane="bottomLeft" activeCell="I13" sqref="I13"/>
    </sheetView>
  </sheetViews>
  <sheetFormatPr defaultColWidth="9.00390625" defaultRowHeight="12.75"/>
  <cols>
    <col min="1" max="1" width="4.875" style="81" customWidth="1"/>
    <col min="2" max="2" width="45.625" style="82" customWidth="1"/>
    <col min="3" max="3" width="4.75390625" style="81" customWidth="1"/>
    <col min="4" max="4" width="5.375" style="82" customWidth="1"/>
    <col min="5" max="5" width="7.75390625" style="82" customWidth="1"/>
    <col min="6" max="6" width="8.75390625" style="82" customWidth="1"/>
    <col min="7" max="7" width="10.00390625" style="82" customWidth="1"/>
    <col min="8" max="8" width="6.75390625" style="83" customWidth="1"/>
    <col min="9" max="9" width="8.00390625" style="83" customWidth="1"/>
    <col min="10" max="10" width="17.75390625" style="84" customWidth="1"/>
    <col min="11" max="16384" width="9.125" style="82" customWidth="1"/>
  </cols>
  <sheetData>
    <row r="1" spans="1:10" ht="16.5">
      <c r="A1" s="85" t="s">
        <v>96</v>
      </c>
      <c r="B1" s="86" t="s">
        <v>97</v>
      </c>
      <c r="C1" s="87" t="s">
        <v>98</v>
      </c>
      <c r="D1" s="87" t="s">
        <v>99</v>
      </c>
      <c r="E1" s="88" t="s">
        <v>100</v>
      </c>
      <c r="F1" s="256" t="s">
        <v>101</v>
      </c>
      <c r="G1" s="256"/>
      <c r="H1" s="257" t="s">
        <v>102</v>
      </c>
      <c r="I1" s="257"/>
      <c r="J1" s="89"/>
    </row>
    <row r="2" spans="1:10" ht="16.5">
      <c r="A2" s="90" t="s">
        <v>103</v>
      </c>
      <c r="B2" s="91" t="s">
        <v>1</v>
      </c>
      <c r="C2" s="92"/>
      <c r="D2" s="92" t="s">
        <v>98</v>
      </c>
      <c r="E2" s="93" t="s">
        <v>104</v>
      </c>
      <c r="F2" s="94"/>
      <c r="G2" s="95"/>
      <c r="H2" s="96"/>
      <c r="I2" s="97"/>
      <c r="J2" s="89"/>
    </row>
    <row r="3" spans="1:10" ht="16.5">
      <c r="A3" s="98"/>
      <c r="B3" s="99"/>
      <c r="C3" s="100"/>
      <c r="D3" s="94"/>
      <c r="E3" s="101"/>
      <c r="F3" s="100" t="s">
        <v>105</v>
      </c>
      <c r="G3" s="100" t="s">
        <v>106</v>
      </c>
      <c r="H3" s="102" t="s">
        <v>107</v>
      </c>
      <c r="I3" s="103" t="s">
        <v>108</v>
      </c>
      <c r="J3" s="89"/>
    </row>
    <row r="4" spans="1:10" ht="16.5">
      <c r="A4" s="104" t="s">
        <v>109</v>
      </c>
      <c r="B4" s="105">
        <v>2</v>
      </c>
      <c r="C4" s="106">
        <v>3</v>
      </c>
      <c r="D4" s="106">
        <v>4</v>
      </c>
      <c r="E4" s="106">
        <v>5</v>
      </c>
      <c r="F4" s="106">
        <v>6</v>
      </c>
      <c r="G4" s="106">
        <v>7</v>
      </c>
      <c r="H4" s="106">
        <v>8</v>
      </c>
      <c r="I4" s="106">
        <v>9</v>
      </c>
      <c r="J4" s="89"/>
    </row>
    <row r="5" spans="1:10" ht="16.5">
      <c r="A5" s="107"/>
      <c r="B5" s="108"/>
      <c r="C5" s="109"/>
      <c r="D5" s="110"/>
      <c r="E5" s="111"/>
      <c r="F5" s="111"/>
      <c r="G5" s="111"/>
      <c r="H5" s="112"/>
      <c r="I5" s="113"/>
      <c r="J5" s="114"/>
    </row>
    <row r="6" spans="1:10" ht="16.5">
      <c r="A6" s="172">
        <v>1</v>
      </c>
      <c r="B6" s="184" t="s">
        <v>4</v>
      </c>
      <c r="C6" s="185"/>
      <c r="D6" s="186"/>
      <c r="E6" s="187"/>
      <c r="F6" s="187"/>
      <c r="G6" s="187"/>
      <c r="H6" s="188"/>
      <c r="I6" s="188"/>
      <c r="J6" s="114"/>
    </row>
    <row r="7" spans="1:10" s="116" customFormat="1" ht="35.25">
      <c r="A7" s="173"/>
      <c r="B7" s="189" t="s">
        <v>110</v>
      </c>
      <c r="C7" s="190" t="s">
        <v>111</v>
      </c>
      <c r="D7" s="191">
        <v>12</v>
      </c>
      <c r="E7" s="229"/>
      <c r="F7" s="229"/>
      <c r="G7" s="230"/>
      <c r="H7" s="231"/>
      <c r="I7" s="232"/>
      <c r="J7" s="115"/>
    </row>
    <row r="8" spans="1:10" s="116" customFormat="1" ht="35.25">
      <c r="A8" s="173"/>
      <c r="B8" s="189" t="s">
        <v>112</v>
      </c>
      <c r="C8" s="190" t="s">
        <v>111</v>
      </c>
      <c r="D8" s="191">
        <v>13</v>
      </c>
      <c r="E8" s="229"/>
      <c r="F8" s="229"/>
      <c r="G8" s="230"/>
      <c r="H8" s="231"/>
      <c r="I8" s="232"/>
      <c r="J8" s="115"/>
    </row>
    <row r="9" spans="1:10" s="116" customFormat="1" ht="35.25">
      <c r="A9" s="173"/>
      <c r="B9" s="189" t="s">
        <v>113</v>
      </c>
      <c r="C9" s="190" t="s">
        <v>111</v>
      </c>
      <c r="D9" s="191">
        <v>10</v>
      </c>
      <c r="E9" s="229"/>
      <c r="F9" s="229"/>
      <c r="G9" s="230"/>
      <c r="H9" s="231"/>
      <c r="I9" s="232"/>
      <c r="J9" s="115"/>
    </row>
    <row r="10" spans="1:10" s="116" customFormat="1" ht="35.25">
      <c r="A10" s="173"/>
      <c r="B10" s="189" t="s">
        <v>114</v>
      </c>
      <c r="C10" s="190" t="s">
        <v>111</v>
      </c>
      <c r="D10" s="191">
        <v>3</v>
      </c>
      <c r="E10" s="229"/>
      <c r="F10" s="233"/>
      <c r="G10" s="230"/>
      <c r="H10" s="231"/>
      <c r="I10" s="232"/>
      <c r="J10" s="115"/>
    </row>
    <row r="11" spans="1:10" s="116" customFormat="1" ht="35.25">
      <c r="A11" s="173"/>
      <c r="B11" s="189" t="s">
        <v>115</v>
      </c>
      <c r="C11" s="190" t="s">
        <v>111</v>
      </c>
      <c r="D11" s="191">
        <v>1</v>
      </c>
      <c r="E11" s="229"/>
      <c r="F11" s="233"/>
      <c r="G11" s="230"/>
      <c r="H11" s="231"/>
      <c r="I11" s="232"/>
      <c r="J11" s="115"/>
    </row>
    <row r="12" spans="1:10" s="116" customFormat="1" ht="35.25">
      <c r="A12" s="173"/>
      <c r="B12" s="189" t="s">
        <v>116</v>
      </c>
      <c r="C12" s="190" t="s">
        <v>111</v>
      </c>
      <c r="D12" s="191">
        <v>4</v>
      </c>
      <c r="E12" s="234"/>
      <c r="F12" s="233"/>
      <c r="G12" s="230"/>
      <c r="H12" s="231"/>
      <c r="I12" s="232"/>
      <c r="J12" s="115"/>
    </row>
    <row r="13" spans="1:10" s="116" customFormat="1" ht="35.25">
      <c r="A13" s="173"/>
      <c r="B13" s="189" t="s">
        <v>117</v>
      </c>
      <c r="C13" s="190" t="s">
        <v>111</v>
      </c>
      <c r="D13" s="191">
        <v>2</v>
      </c>
      <c r="E13" s="234"/>
      <c r="F13" s="233"/>
      <c r="G13" s="230"/>
      <c r="H13" s="231"/>
      <c r="I13" s="232"/>
      <c r="J13" s="115"/>
    </row>
    <row r="14" spans="1:10" s="116" customFormat="1" ht="24">
      <c r="A14" s="173"/>
      <c r="B14" s="189" t="s">
        <v>118</v>
      </c>
      <c r="C14" s="190" t="s">
        <v>111</v>
      </c>
      <c r="D14" s="191">
        <f>D7</f>
        <v>12</v>
      </c>
      <c r="E14" s="229"/>
      <c r="F14" s="229"/>
      <c r="G14" s="230"/>
      <c r="H14" s="231"/>
      <c r="I14" s="232"/>
      <c r="J14" s="115"/>
    </row>
    <row r="15" spans="1:10" s="116" customFormat="1" ht="24">
      <c r="A15" s="173"/>
      <c r="B15" s="189" t="s">
        <v>119</v>
      </c>
      <c r="C15" s="190" t="s">
        <v>111</v>
      </c>
      <c r="D15" s="191">
        <f>D8</f>
        <v>13</v>
      </c>
      <c r="E15" s="229"/>
      <c r="F15" s="229"/>
      <c r="G15" s="230"/>
      <c r="H15" s="231"/>
      <c r="I15" s="232"/>
      <c r="J15" s="115"/>
    </row>
    <row r="16" spans="1:10" s="116" customFormat="1" ht="24">
      <c r="A16" s="173"/>
      <c r="B16" s="189" t="s">
        <v>120</v>
      </c>
      <c r="C16" s="190" t="s">
        <v>111</v>
      </c>
      <c r="D16" s="191">
        <f>D9</f>
        <v>10</v>
      </c>
      <c r="E16" s="229"/>
      <c r="F16" s="229"/>
      <c r="G16" s="230"/>
      <c r="H16" s="231"/>
      <c r="I16" s="232"/>
      <c r="J16" s="115"/>
    </row>
    <row r="17" spans="1:10" s="116" customFormat="1" ht="24">
      <c r="A17" s="173"/>
      <c r="B17" s="189" t="s">
        <v>121</v>
      </c>
      <c r="C17" s="190" t="s">
        <v>111</v>
      </c>
      <c r="D17" s="191">
        <f>D10</f>
        <v>3</v>
      </c>
      <c r="E17" s="229"/>
      <c r="F17" s="229"/>
      <c r="G17" s="230"/>
      <c r="H17" s="231"/>
      <c r="I17" s="232"/>
      <c r="J17" s="115"/>
    </row>
    <row r="18" spans="1:10" s="116" customFormat="1" ht="24">
      <c r="A18" s="173"/>
      <c r="B18" s="189" t="s">
        <v>122</v>
      </c>
      <c r="C18" s="190" t="s">
        <v>111</v>
      </c>
      <c r="D18" s="191">
        <f>D11+2</f>
        <v>3</v>
      </c>
      <c r="E18" s="234"/>
      <c r="F18" s="229"/>
      <c r="G18" s="230"/>
      <c r="H18" s="231"/>
      <c r="I18" s="232"/>
      <c r="J18" s="115"/>
    </row>
    <row r="19" spans="1:10" s="116" customFormat="1" ht="24">
      <c r="A19" s="173"/>
      <c r="B19" s="189" t="s">
        <v>123</v>
      </c>
      <c r="C19" s="190" t="s">
        <v>111</v>
      </c>
      <c r="D19" s="191">
        <f>D12</f>
        <v>4</v>
      </c>
      <c r="E19" s="234"/>
      <c r="F19" s="229"/>
      <c r="G19" s="230"/>
      <c r="H19" s="231"/>
      <c r="I19" s="232"/>
      <c r="J19" s="115"/>
    </row>
    <row r="20" spans="1:10" s="116" customFormat="1" ht="24">
      <c r="A20" s="173"/>
      <c r="B20" s="189" t="s">
        <v>124</v>
      </c>
      <c r="C20" s="190" t="s">
        <v>111</v>
      </c>
      <c r="D20" s="191">
        <f>D13+1</f>
        <v>3</v>
      </c>
      <c r="E20" s="229"/>
      <c r="F20" s="229"/>
      <c r="G20" s="230"/>
      <c r="H20" s="231"/>
      <c r="I20" s="232"/>
      <c r="J20" s="115"/>
    </row>
    <row r="21" spans="1:17" s="116" customFormat="1" ht="16.5">
      <c r="A21" s="173"/>
      <c r="B21" s="189" t="s">
        <v>125</v>
      </c>
      <c r="C21" s="190" t="s">
        <v>92</v>
      </c>
      <c r="D21" s="191">
        <f>0.5*45</f>
        <v>22.5</v>
      </c>
      <c r="E21" s="229"/>
      <c r="F21" s="229"/>
      <c r="G21" s="229"/>
      <c r="H21" s="231"/>
      <c r="I21" s="231"/>
      <c r="J21" s="117"/>
      <c r="K21" s="118"/>
      <c r="L21" s="117"/>
      <c r="M21" s="119"/>
      <c r="N21" s="119"/>
      <c r="O21" s="119"/>
      <c r="P21" s="120"/>
      <c r="Q21" s="120"/>
    </row>
    <row r="22" spans="1:17" s="116" customFormat="1" ht="16.5">
      <c r="A22" s="173"/>
      <c r="B22" s="189" t="s">
        <v>126</v>
      </c>
      <c r="C22" s="190" t="s">
        <v>92</v>
      </c>
      <c r="D22" s="192">
        <f>D21</f>
        <v>22.5</v>
      </c>
      <c r="E22" s="229"/>
      <c r="F22" s="229"/>
      <c r="G22" s="229"/>
      <c r="H22" s="231"/>
      <c r="I22" s="231"/>
      <c r="J22" s="117"/>
      <c r="K22" s="118"/>
      <c r="L22" s="117"/>
      <c r="M22" s="119"/>
      <c r="N22" s="119"/>
      <c r="O22" s="119"/>
      <c r="P22" s="120"/>
      <c r="Q22" s="120"/>
    </row>
    <row r="23" spans="1:17" s="116" customFormat="1" ht="16.5">
      <c r="A23" s="174"/>
      <c r="B23" s="193" t="s">
        <v>127</v>
      </c>
      <c r="C23" s="190" t="s">
        <v>128</v>
      </c>
      <c r="D23" s="191">
        <f>I23</f>
        <v>0</v>
      </c>
      <c r="E23" s="229"/>
      <c r="F23" s="229"/>
      <c r="G23" s="229"/>
      <c r="H23" s="231"/>
      <c r="I23" s="231"/>
      <c r="J23" s="117"/>
      <c r="K23" s="118"/>
      <c r="L23" s="117"/>
      <c r="M23" s="119"/>
      <c r="N23" s="119"/>
      <c r="O23" s="119"/>
      <c r="P23" s="120"/>
      <c r="Q23" s="120"/>
    </row>
    <row r="24" spans="1:17" s="116" customFormat="1" ht="16.5">
      <c r="A24" s="121"/>
      <c r="B24" s="193"/>
      <c r="C24" s="190"/>
      <c r="D24" s="194"/>
      <c r="E24" s="229"/>
      <c r="F24" s="235"/>
      <c r="G24" s="235"/>
      <c r="H24" s="231"/>
      <c r="I24" s="231"/>
      <c r="J24" s="117"/>
      <c r="K24" s="118"/>
      <c r="L24" s="117"/>
      <c r="M24" s="119"/>
      <c r="N24" s="119"/>
      <c r="O24" s="119"/>
      <c r="P24" s="120"/>
      <c r="Q24" s="120"/>
    </row>
    <row r="25" spans="1:17" s="116" customFormat="1" ht="16.5">
      <c r="A25" s="121"/>
      <c r="B25" s="195" t="s">
        <v>108</v>
      </c>
      <c r="C25" s="190"/>
      <c r="D25" s="193"/>
      <c r="E25" s="229"/>
      <c r="F25" s="229"/>
      <c r="G25" s="236"/>
      <c r="H25" s="231"/>
      <c r="I25" s="231"/>
      <c r="J25" s="117"/>
      <c r="K25" s="118"/>
      <c r="L25" s="117"/>
      <c r="M25" s="119"/>
      <c r="N25" s="119"/>
      <c r="O25" s="119"/>
      <c r="P25" s="120"/>
      <c r="Q25" s="120"/>
    </row>
    <row r="26" spans="1:17" s="116" customFormat="1" ht="16.5">
      <c r="A26" s="121"/>
      <c r="B26" s="195"/>
      <c r="C26" s="190"/>
      <c r="D26" s="193"/>
      <c r="E26" s="229"/>
      <c r="F26" s="229"/>
      <c r="G26" s="236"/>
      <c r="H26" s="231"/>
      <c r="I26" s="231"/>
      <c r="J26" s="117"/>
      <c r="K26" s="118"/>
      <c r="L26" s="117"/>
      <c r="M26" s="119"/>
      <c r="N26" s="119"/>
      <c r="O26" s="119"/>
      <c r="P26" s="120"/>
      <c r="Q26" s="120"/>
    </row>
    <row r="27" spans="1:17" s="116" customFormat="1" ht="16.5">
      <c r="A27" s="175">
        <v>2</v>
      </c>
      <c r="B27" s="195" t="s">
        <v>5</v>
      </c>
      <c r="C27" s="190"/>
      <c r="D27" s="193"/>
      <c r="E27" s="229"/>
      <c r="F27" s="229"/>
      <c r="G27" s="229"/>
      <c r="H27" s="231"/>
      <c r="I27" s="231"/>
      <c r="J27" s="117"/>
      <c r="K27" s="118"/>
      <c r="L27" s="117"/>
      <c r="M27" s="119"/>
      <c r="N27" s="119"/>
      <c r="O27" s="119"/>
      <c r="P27" s="120"/>
      <c r="Q27" s="120"/>
    </row>
    <row r="28" spans="1:17" s="116" customFormat="1" ht="24">
      <c r="A28" s="173"/>
      <c r="B28" s="189" t="s">
        <v>129</v>
      </c>
      <c r="C28" s="190" t="s">
        <v>130</v>
      </c>
      <c r="D28" s="193">
        <v>1</v>
      </c>
      <c r="E28" s="229"/>
      <c r="F28" s="229"/>
      <c r="G28" s="229"/>
      <c r="H28" s="231"/>
      <c r="I28" s="231"/>
      <c r="J28" s="117"/>
      <c r="K28" s="118"/>
      <c r="L28" s="117"/>
      <c r="M28" s="119"/>
      <c r="N28" s="119"/>
      <c r="O28" s="119"/>
      <c r="P28" s="120"/>
      <c r="Q28" s="120"/>
    </row>
    <row r="29" spans="1:17" s="116" customFormat="1" ht="24">
      <c r="A29" s="174"/>
      <c r="B29" s="189" t="s">
        <v>131</v>
      </c>
      <c r="C29" s="190" t="s">
        <v>130</v>
      </c>
      <c r="D29" s="193">
        <v>1</v>
      </c>
      <c r="E29" s="229"/>
      <c r="F29" s="229"/>
      <c r="G29" s="229"/>
      <c r="H29" s="231"/>
      <c r="I29" s="231"/>
      <c r="J29" s="117"/>
      <c r="K29" s="118"/>
      <c r="L29" s="117"/>
      <c r="M29" s="119"/>
      <c r="N29" s="119"/>
      <c r="O29" s="119"/>
      <c r="P29" s="120"/>
      <c r="Q29" s="120"/>
    </row>
    <row r="30" spans="1:17" s="116" customFormat="1" ht="16.5">
      <c r="A30" s="121"/>
      <c r="B30" s="195" t="s">
        <v>108</v>
      </c>
      <c r="C30" s="190"/>
      <c r="D30" s="193"/>
      <c r="E30" s="229"/>
      <c r="F30" s="229"/>
      <c r="G30" s="236"/>
      <c r="H30" s="231"/>
      <c r="I30" s="231"/>
      <c r="J30" s="117"/>
      <c r="K30" s="118"/>
      <c r="L30" s="117"/>
      <c r="M30" s="119"/>
      <c r="N30" s="119"/>
      <c r="O30" s="119"/>
      <c r="P30" s="120"/>
      <c r="Q30" s="120"/>
    </row>
    <row r="31" spans="1:17" s="116" customFormat="1" ht="16.5">
      <c r="A31" s="121"/>
      <c r="B31" s="195"/>
      <c r="C31" s="190"/>
      <c r="D31" s="193"/>
      <c r="E31" s="229"/>
      <c r="F31" s="229"/>
      <c r="G31" s="236"/>
      <c r="H31" s="231"/>
      <c r="I31" s="231"/>
      <c r="J31" s="117"/>
      <c r="K31" s="118"/>
      <c r="L31" s="117"/>
      <c r="M31" s="119"/>
      <c r="N31" s="119"/>
      <c r="O31" s="119"/>
      <c r="P31" s="120"/>
      <c r="Q31" s="120"/>
    </row>
    <row r="32" spans="1:17" s="116" customFormat="1" ht="16.5">
      <c r="A32" s="176">
        <v>3</v>
      </c>
      <c r="B32" s="196" t="s">
        <v>132</v>
      </c>
      <c r="C32" s="190"/>
      <c r="D32" s="197"/>
      <c r="E32" s="229"/>
      <c r="F32" s="229"/>
      <c r="G32" s="229"/>
      <c r="H32" s="231"/>
      <c r="I32" s="231"/>
      <c r="J32" s="117"/>
      <c r="K32" s="118"/>
      <c r="L32" s="117"/>
      <c r="M32" s="119"/>
      <c r="N32" s="119"/>
      <c r="O32" s="119"/>
      <c r="P32" s="120"/>
      <c r="Q32" s="120"/>
    </row>
    <row r="33" spans="1:17" s="116" customFormat="1" ht="16.5">
      <c r="A33" s="177" t="s">
        <v>133</v>
      </c>
      <c r="B33" s="198" t="s">
        <v>134</v>
      </c>
      <c r="C33" s="190">
        <v>9</v>
      </c>
      <c r="D33" s="197"/>
      <c r="E33" s="229"/>
      <c r="F33" s="229"/>
      <c r="G33" s="229"/>
      <c r="H33" s="231"/>
      <c r="I33" s="231"/>
      <c r="J33" s="117"/>
      <c r="K33" s="118"/>
      <c r="L33" s="117"/>
      <c r="M33" s="119"/>
      <c r="N33" s="119"/>
      <c r="O33" s="119"/>
      <c r="P33" s="120"/>
      <c r="Q33" s="120"/>
    </row>
    <row r="34" spans="1:10" s="116" customFormat="1" ht="57.75">
      <c r="A34" s="178"/>
      <c r="B34" s="189" t="s">
        <v>135</v>
      </c>
      <c r="C34" s="190" t="s">
        <v>92</v>
      </c>
      <c r="D34" s="191">
        <f>1.93*1.96*1.2/3*2*C33</f>
        <v>27.23616</v>
      </c>
      <c r="E34" s="229"/>
      <c r="F34" s="229"/>
      <c r="G34" s="229"/>
      <c r="H34" s="231"/>
      <c r="I34" s="231"/>
      <c r="J34" s="115"/>
    </row>
    <row r="35" spans="1:10" s="116" customFormat="1" ht="16.5">
      <c r="A35" s="178"/>
      <c r="B35" s="199" t="s">
        <v>136</v>
      </c>
      <c r="C35" s="200" t="s">
        <v>92</v>
      </c>
      <c r="D35" s="201">
        <f>1.93*1.96*1.2/3*2*C33</f>
        <v>27.23616</v>
      </c>
      <c r="E35" s="237"/>
      <c r="F35" s="237"/>
      <c r="G35" s="237"/>
      <c r="H35" s="238"/>
      <c r="I35" s="231"/>
      <c r="J35" s="115"/>
    </row>
    <row r="36" spans="1:10" s="116" customFormat="1" ht="24">
      <c r="A36" s="178"/>
      <c r="B36" s="202" t="s">
        <v>137</v>
      </c>
      <c r="C36" s="190" t="s">
        <v>92</v>
      </c>
      <c r="D36" s="191">
        <f>0.165*C33</f>
        <v>1.485</v>
      </c>
      <c r="E36" s="234"/>
      <c r="F36" s="229"/>
      <c r="G36" s="229"/>
      <c r="H36" s="231"/>
      <c r="I36" s="231"/>
      <c r="J36" s="115"/>
    </row>
    <row r="37" spans="1:10" s="116" customFormat="1" ht="35.25">
      <c r="A37" s="178"/>
      <c r="B37" s="189" t="s">
        <v>138</v>
      </c>
      <c r="C37" s="190" t="s">
        <v>92</v>
      </c>
      <c r="D37" s="191">
        <f>0.39*C33</f>
        <v>3.5100000000000002</v>
      </c>
      <c r="E37" s="234"/>
      <c r="F37" s="229"/>
      <c r="G37" s="229"/>
      <c r="H37" s="231"/>
      <c r="I37" s="231"/>
      <c r="J37" s="115"/>
    </row>
    <row r="38" spans="1:10" s="116" customFormat="1" ht="16.5">
      <c r="A38" s="178"/>
      <c r="B38" s="202" t="s">
        <v>139</v>
      </c>
      <c r="C38" s="190" t="s">
        <v>92</v>
      </c>
      <c r="D38" s="191">
        <f>D37</f>
        <v>3.5100000000000002</v>
      </c>
      <c r="E38" s="234"/>
      <c r="F38" s="229"/>
      <c r="G38" s="229"/>
      <c r="H38" s="238"/>
      <c r="I38" s="231"/>
      <c r="J38" s="115"/>
    </row>
    <row r="39" spans="1:10" s="116" customFormat="1" ht="24">
      <c r="A39" s="178"/>
      <c r="B39" s="189" t="s">
        <v>140</v>
      </c>
      <c r="C39" s="190" t="s">
        <v>92</v>
      </c>
      <c r="D39" s="193">
        <f>2.1*2.3*0.05*C33</f>
        <v>2.1735</v>
      </c>
      <c r="E39" s="229"/>
      <c r="F39" s="229"/>
      <c r="G39" s="229"/>
      <c r="H39" s="231"/>
      <c r="I39" s="231"/>
      <c r="J39" s="115"/>
    </row>
    <row r="40" spans="1:10" s="116" customFormat="1" ht="24">
      <c r="A40" s="178"/>
      <c r="B40" s="189" t="s">
        <v>141</v>
      </c>
      <c r="C40" s="190" t="s">
        <v>92</v>
      </c>
      <c r="D40" s="193">
        <f>2.1*2.3*0.08*C33</f>
        <v>3.4776000000000002</v>
      </c>
      <c r="E40" s="229"/>
      <c r="F40" s="229"/>
      <c r="G40" s="229"/>
      <c r="H40" s="231"/>
      <c r="I40" s="231"/>
      <c r="J40" s="115"/>
    </row>
    <row r="41" spans="1:10" s="116" customFormat="1" ht="24">
      <c r="A41" s="178"/>
      <c r="B41" s="189" t="s">
        <v>142</v>
      </c>
      <c r="C41" s="190" t="s">
        <v>143</v>
      </c>
      <c r="D41" s="193">
        <f>2.1*2.3*C33</f>
        <v>43.47</v>
      </c>
      <c r="E41" s="229"/>
      <c r="F41" s="229"/>
      <c r="G41" s="229"/>
      <c r="H41" s="231"/>
      <c r="I41" s="231"/>
      <c r="J41" s="115"/>
    </row>
    <row r="42" spans="1:10" s="116" customFormat="1" ht="24">
      <c r="A42" s="178"/>
      <c r="B42" s="189" t="s">
        <v>144</v>
      </c>
      <c r="C42" s="190" t="s">
        <v>143</v>
      </c>
      <c r="D42" s="193">
        <f>D41</f>
        <v>43.47</v>
      </c>
      <c r="E42" s="229"/>
      <c r="F42" s="229"/>
      <c r="G42" s="229"/>
      <c r="H42" s="231"/>
      <c r="I42" s="231"/>
      <c r="J42" s="115"/>
    </row>
    <row r="43" spans="1:10" s="116" customFormat="1" ht="16.5">
      <c r="A43" s="179"/>
      <c r="B43" s="193" t="s">
        <v>127</v>
      </c>
      <c r="C43" s="190" t="s">
        <v>128</v>
      </c>
      <c r="D43" s="193">
        <f>I43</f>
        <v>0</v>
      </c>
      <c r="E43" s="229"/>
      <c r="F43" s="229"/>
      <c r="G43" s="229"/>
      <c r="H43" s="231"/>
      <c r="I43" s="231"/>
      <c r="J43" s="115"/>
    </row>
    <row r="44" spans="1:10" s="116" customFormat="1" ht="16.5">
      <c r="A44" s="122"/>
      <c r="B44" s="193"/>
      <c r="C44" s="190"/>
      <c r="D44" s="194"/>
      <c r="E44" s="229"/>
      <c r="F44" s="235"/>
      <c r="G44" s="235"/>
      <c r="H44" s="231"/>
      <c r="I44" s="231"/>
      <c r="J44" s="115"/>
    </row>
    <row r="45" spans="1:10" s="116" customFormat="1" ht="16.5">
      <c r="A45" s="122"/>
      <c r="B45" s="195" t="s">
        <v>108</v>
      </c>
      <c r="C45" s="190"/>
      <c r="D45" s="193"/>
      <c r="E45" s="229"/>
      <c r="F45" s="229"/>
      <c r="G45" s="239"/>
      <c r="H45" s="231"/>
      <c r="I45" s="231"/>
      <c r="J45" s="115"/>
    </row>
    <row r="46" spans="1:10" s="116" customFormat="1" ht="16.5">
      <c r="A46" s="122"/>
      <c r="B46" s="189"/>
      <c r="C46" s="190"/>
      <c r="D46" s="197"/>
      <c r="E46" s="240"/>
      <c r="F46" s="229"/>
      <c r="G46" s="229"/>
      <c r="H46" s="231"/>
      <c r="I46" s="231"/>
      <c r="J46" s="115"/>
    </row>
    <row r="47" spans="1:10" s="116" customFormat="1" ht="24">
      <c r="A47" s="180" t="s">
        <v>145</v>
      </c>
      <c r="B47" s="198" t="s">
        <v>146</v>
      </c>
      <c r="C47" s="190"/>
      <c r="D47" s="197"/>
      <c r="E47" s="240"/>
      <c r="F47" s="229"/>
      <c r="G47" s="229"/>
      <c r="H47" s="231"/>
      <c r="I47" s="231"/>
      <c r="J47" s="115"/>
    </row>
    <row r="48" spans="1:10" s="116" customFormat="1" ht="35.25">
      <c r="A48" s="173"/>
      <c r="B48" s="189" t="s">
        <v>147</v>
      </c>
      <c r="C48" s="190" t="s">
        <v>92</v>
      </c>
      <c r="D48" s="191">
        <f>1.93*1.96*1.2/3*2*1</f>
        <v>3.02624</v>
      </c>
      <c r="E48" s="229"/>
      <c r="F48" s="229"/>
      <c r="G48" s="229"/>
      <c r="H48" s="231"/>
      <c r="I48" s="231"/>
      <c r="J48" s="115"/>
    </row>
    <row r="49" spans="1:10" s="116" customFormat="1" ht="16.5">
      <c r="A49" s="173"/>
      <c r="B49" s="199" t="s">
        <v>148</v>
      </c>
      <c r="C49" s="200" t="s">
        <v>92</v>
      </c>
      <c r="D49" s="201">
        <f>D48</f>
        <v>3.02624</v>
      </c>
      <c r="E49" s="241"/>
      <c r="F49" s="237"/>
      <c r="G49" s="229"/>
      <c r="H49" s="238"/>
      <c r="I49" s="231"/>
      <c r="J49" s="115"/>
    </row>
    <row r="50" spans="1:10" s="116" customFormat="1" ht="24">
      <c r="A50" s="173"/>
      <c r="B50" s="189" t="s">
        <v>149</v>
      </c>
      <c r="C50" s="190" t="s">
        <v>143</v>
      </c>
      <c r="D50" s="192">
        <v>1.5</v>
      </c>
      <c r="E50" s="229"/>
      <c r="F50" s="229"/>
      <c r="G50" s="229"/>
      <c r="H50" s="231"/>
      <c r="I50" s="231"/>
      <c r="J50" s="115"/>
    </row>
    <row r="51" spans="1:10" s="116" customFormat="1" ht="16.5">
      <c r="A51" s="173"/>
      <c r="B51" s="202" t="s">
        <v>150</v>
      </c>
      <c r="C51" s="190" t="s">
        <v>92</v>
      </c>
      <c r="D51" s="191">
        <f>D50*0.1</f>
        <v>0.15000000000000002</v>
      </c>
      <c r="E51" s="234"/>
      <c r="F51" s="229"/>
      <c r="G51" s="229"/>
      <c r="H51" s="238"/>
      <c r="I51" s="231"/>
      <c r="J51" s="115"/>
    </row>
    <row r="52" spans="1:10" s="116" customFormat="1" ht="16.5">
      <c r="A52" s="173"/>
      <c r="B52" s="189" t="s">
        <v>126</v>
      </c>
      <c r="C52" s="190" t="s">
        <v>92</v>
      </c>
      <c r="D52" s="192">
        <f>D51</f>
        <v>0.15000000000000002</v>
      </c>
      <c r="E52" s="229"/>
      <c r="F52" s="229"/>
      <c r="G52" s="229"/>
      <c r="H52" s="238"/>
      <c r="I52" s="231"/>
      <c r="J52" s="115"/>
    </row>
    <row r="53" spans="1:10" s="116" customFormat="1" ht="24">
      <c r="A53" s="173"/>
      <c r="B53" s="202" t="s">
        <v>151</v>
      </c>
      <c r="C53" s="190" t="s">
        <v>143</v>
      </c>
      <c r="D53" s="193">
        <f>1.93*1.96+1.5</f>
        <v>5.2828</v>
      </c>
      <c r="E53" s="234"/>
      <c r="F53" s="229"/>
      <c r="G53" s="229"/>
      <c r="H53" s="231"/>
      <c r="I53" s="231"/>
      <c r="J53" s="115"/>
    </row>
    <row r="54" spans="1:10" s="116" customFormat="1" ht="24">
      <c r="A54" s="173"/>
      <c r="B54" s="203" t="s">
        <v>152</v>
      </c>
      <c r="C54" s="190" t="s">
        <v>143</v>
      </c>
      <c r="D54" s="192">
        <f>1.93*1.96+1.5</f>
        <v>5.2828</v>
      </c>
      <c r="E54" s="229"/>
      <c r="F54" s="229"/>
      <c r="G54" s="229"/>
      <c r="H54" s="231"/>
      <c r="I54" s="231"/>
      <c r="J54" s="115"/>
    </row>
    <row r="55" spans="1:10" s="116" customFormat="1" ht="16.5">
      <c r="A55" s="174"/>
      <c r="B55" s="193" t="s">
        <v>127</v>
      </c>
      <c r="C55" s="190" t="s">
        <v>128</v>
      </c>
      <c r="D55" s="191">
        <f>I55</f>
        <v>0</v>
      </c>
      <c r="E55" s="229"/>
      <c r="F55" s="229"/>
      <c r="G55" s="229"/>
      <c r="H55" s="231"/>
      <c r="I55" s="231"/>
      <c r="J55" s="115"/>
    </row>
    <row r="56" spans="1:10" s="116" customFormat="1" ht="16.5">
      <c r="A56" s="121"/>
      <c r="B56" s="193"/>
      <c r="C56" s="190"/>
      <c r="D56" s="194"/>
      <c r="E56" s="229"/>
      <c r="F56" s="235"/>
      <c r="G56" s="235"/>
      <c r="H56" s="231"/>
      <c r="I56" s="231"/>
      <c r="J56" s="115"/>
    </row>
    <row r="57" spans="1:10" s="116" customFormat="1" ht="16.5">
      <c r="A57" s="121"/>
      <c r="B57" s="195" t="s">
        <v>108</v>
      </c>
      <c r="C57" s="190"/>
      <c r="D57" s="193"/>
      <c r="E57" s="229"/>
      <c r="F57" s="229"/>
      <c r="G57" s="239"/>
      <c r="H57" s="231"/>
      <c r="I57" s="231"/>
      <c r="J57" s="115"/>
    </row>
    <row r="58" spans="1:10" s="116" customFormat="1" ht="16.5">
      <c r="A58" s="121"/>
      <c r="B58" s="189"/>
      <c r="C58" s="190"/>
      <c r="D58" s="197"/>
      <c r="E58" s="240"/>
      <c r="F58" s="229"/>
      <c r="G58" s="229"/>
      <c r="H58" s="231"/>
      <c r="I58" s="231"/>
      <c r="J58" s="115"/>
    </row>
    <row r="59" spans="1:10" s="116" customFormat="1" ht="16.5">
      <c r="A59" s="175" t="s">
        <v>153</v>
      </c>
      <c r="B59" s="198" t="s">
        <v>154</v>
      </c>
      <c r="C59" s="190"/>
      <c r="D59" s="197"/>
      <c r="E59" s="240"/>
      <c r="F59" s="229"/>
      <c r="G59" s="229"/>
      <c r="H59" s="231"/>
      <c r="I59" s="231"/>
      <c r="J59" s="115"/>
    </row>
    <row r="60" spans="1:10" s="116" customFormat="1" ht="35.25">
      <c r="A60" s="173"/>
      <c r="B60" s="189" t="s">
        <v>155</v>
      </c>
      <c r="C60" s="190" t="s">
        <v>92</v>
      </c>
      <c r="D60" s="191">
        <f>1.5*1.5*1.2/3*2*4</f>
        <v>7.199999999999999</v>
      </c>
      <c r="E60" s="234"/>
      <c r="F60" s="229"/>
      <c r="G60" s="229"/>
      <c r="H60" s="231"/>
      <c r="I60" s="231"/>
      <c r="J60" s="115"/>
    </row>
    <row r="61" spans="1:10" s="116" customFormat="1" ht="16.5">
      <c r="A61" s="173"/>
      <c r="B61" s="199" t="s">
        <v>156</v>
      </c>
      <c r="C61" s="200" t="s">
        <v>92</v>
      </c>
      <c r="D61" s="201">
        <f>D60</f>
        <v>7.199999999999999</v>
      </c>
      <c r="E61" s="241"/>
      <c r="F61" s="237"/>
      <c r="G61" s="237"/>
      <c r="H61" s="242"/>
      <c r="I61" s="243"/>
      <c r="J61" s="115"/>
    </row>
    <row r="62" spans="1:10" s="116" customFormat="1" ht="24">
      <c r="A62" s="173"/>
      <c r="B62" s="189" t="s">
        <v>157</v>
      </c>
      <c r="C62" s="190" t="s">
        <v>143</v>
      </c>
      <c r="D62" s="191">
        <f>1.5*1.5*4</f>
        <v>9</v>
      </c>
      <c r="E62" s="229"/>
      <c r="F62" s="229"/>
      <c r="G62" s="229"/>
      <c r="H62" s="231"/>
      <c r="I62" s="231"/>
      <c r="J62" s="115"/>
    </row>
    <row r="63" spans="1:10" s="116" customFormat="1" ht="16.5">
      <c r="A63" s="173"/>
      <c r="B63" s="193" t="s">
        <v>158</v>
      </c>
      <c r="C63" s="190" t="s">
        <v>143</v>
      </c>
      <c r="D63" s="191">
        <f>D62</f>
        <v>9</v>
      </c>
      <c r="E63" s="229"/>
      <c r="F63" s="229"/>
      <c r="G63" s="229"/>
      <c r="H63" s="231"/>
      <c r="I63" s="231"/>
      <c r="J63" s="115"/>
    </row>
    <row r="64" spans="1:10" s="116" customFormat="1" ht="16.5">
      <c r="A64" s="173"/>
      <c r="B64" s="193" t="s">
        <v>159</v>
      </c>
      <c r="C64" s="190" t="s">
        <v>92</v>
      </c>
      <c r="D64" s="191">
        <f>D63*0.1*1.1</f>
        <v>0.9900000000000001</v>
      </c>
      <c r="E64" s="229"/>
      <c r="F64" s="229"/>
      <c r="G64" s="229"/>
      <c r="H64" s="231"/>
      <c r="I64" s="231"/>
      <c r="J64" s="115"/>
    </row>
    <row r="65" spans="1:10" s="116" customFormat="1" ht="16.5">
      <c r="A65" s="173"/>
      <c r="B65" s="193" t="s">
        <v>160</v>
      </c>
      <c r="C65" s="190" t="s">
        <v>143</v>
      </c>
      <c r="D65" s="191">
        <f>D62</f>
        <v>9</v>
      </c>
      <c r="E65" s="229"/>
      <c r="F65" s="229"/>
      <c r="G65" s="229"/>
      <c r="H65" s="231"/>
      <c r="I65" s="231"/>
      <c r="J65" s="115"/>
    </row>
    <row r="66" spans="1:10" s="116" customFormat="1" ht="16.5">
      <c r="A66" s="173"/>
      <c r="B66" s="193" t="s">
        <v>161</v>
      </c>
      <c r="C66" s="190" t="s">
        <v>162</v>
      </c>
      <c r="D66" s="191">
        <f>D65*0.025</f>
        <v>0.225</v>
      </c>
      <c r="E66" s="229"/>
      <c r="F66" s="229"/>
      <c r="G66" s="229"/>
      <c r="H66" s="231"/>
      <c r="I66" s="231"/>
      <c r="J66" s="115"/>
    </row>
    <row r="67" spans="1:10" s="116" customFormat="1" ht="16.5">
      <c r="A67" s="173"/>
      <c r="B67" s="193" t="s">
        <v>163</v>
      </c>
      <c r="C67" s="190" t="s">
        <v>143</v>
      </c>
      <c r="D67" s="191">
        <f>D62*2</f>
        <v>18</v>
      </c>
      <c r="E67" s="229"/>
      <c r="F67" s="229"/>
      <c r="G67" s="229"/>
      <c r="H67" s="231"/>
      <c r="I67" s="231"/>
      <c r="J67" s="115"/>
    </row>
    <row r="68" spans="1:10" s="116" customFormat="1" ht="16.5">
      <c r="A68" s="173"/>
      <c r="B68" s="193" t="s">
        <v>164</v>
      </c>
      <c r="C68" s="190" t="s">
        <v>92</v>
      </c>
      <c r="D68" s="191">
        <f>D62*0.01</f>
        <v>0.09</v>
      </c>
      <c r="E68" s="229"/>
      <c r="F68" s="229"/>
      <c r="G68" s="229"/>
      <c r="H68" s="231"/>
      <c r="I68" s="231"/>
      <c r="J68" s="115"/>
    </row>
    <row r="69" spans="1:10" s="116" customFormat="1" ht="16.5">
      <c r="A69" s="173"/>
      <c r="B69" s="193" t="s">
        <v>165</v>
      </c>
      <c r="C69" s="190" t="s">
        <v>143</v>
      </c>
      <c r="D69" s="191">
        <f>D62</f>
        <v>9</v>
      </c>
      <c r="E69" s="229"/>
      <c r="F69" s="229"/>
      <c r="G69" s="229"/>
      <c r="H69" s="231"/>
      <c r="I69" s="231"/>
      <c r="J69" s="115"/>
    </row>
    <row r="70" spans="1:10" s="116" customFormat="1" ht="16.5">
      <c r="A70" s="174"/>
      <c r="B70" s="193" t="s">
        <v>127</v>
      </c>
      <c r="C70" s="190" t="s">
        <v>128</v>
      </c>
      <c r="D70" s="191">
        <f>I70</f>
        <v>0</v>
      </c>
      <c r="E70" s="229"/>
      <c r="F70" s="229"/>
      <c r="G70" s="229"/>
      <c r="H70" s="231"/>
      <c r="I70" s="231"/>
      <c r="J70" s="115"/>
    </row>
    <row r="71" spans="1:10" s="116" customFormat="1" ht="16.5">
      <c r="A71" s="121"/>
      <c r="B71" s="193"/>
      <c r="C71" s="190"/>
      <c r="D71" s="194"/>
      <c r="E71" s="229"/>
      <c r="F71" s="235"/>
      <c r="G71" s="235"/>
      <c r="H71" s="231"/>
      <c r="I71" s="231"/>
      <c r="J71" s="115"/>
    </row>
    <row r="72" spans="1:10" s="116" customFormat="1" ht="16.5">
      <c r="A72" s="121"/>
      <c r="B72" s="195" t="s">
        <v>108</v>
      </c>
      <c r="C72" s="190"/>
      <c r="D72" s="193"/>
      <c r="E72" s="229"/>
      <c r="F72" s="229"/>
      <c r="G72" s="239"/>
      <c r="H72" s="231"/>
      <c r="I72" s="231"/>
      <c r="J72" s="115"/>
    </row>
    <row r="73" spans="1:10" s="116" customFormat="1" ht="16.5">
      <c r="A73" s="121"/>
      <c r="B73" s="189"/>
      <c r="C73" s="190"/>
      <c r="D73" s="197"/>
      <c r="E73" s="229"/>
      <c r="F73" s="229"/>
      <c r="G73" s="229"/>
      <c r="H73" s="231"/>
      <c r="I73" s="231"/>
      <c r="J73" s="115"/>
    </row>
    <row r="74" spans="1:10" s="116" customFormat="1" ht="16.5">
      <c r="A74" s="121"/>
      <c r="B74" s="198" t="s">
        <v>166</v>
      </c>
      <c r="C74" s="190"/>
      <c r="D74" s="197"/>
      <c r="E74" s="229"/>
      <c r="F74" s="229"/>
      <c r="G74" s="236"/>
      <c r="H74" s="231"/>
      <c r="I74" s="231"/>
      <c r="J74" s="115"/>
    </row>
    <row r="75" spans="1:10" s="116" customFormat="1" ht="16.5">
      <c r="A75" s="121"/>
      <c r="B75" s="189"/>
      <c r="C75" s="190"/>
      <c r="D75" s="197"/>
      <c r="E75" s="229"/>
      <c r="F75" s="229"/>
      <c r="G75" s="229"/>
      <c r="H75" s="231"/>
      <c r="I75" s="231"/>
      <c r="J75" s="115"/>
    </row>
    <row r="76" spans="1:10" s="116" customFormat="1" ht="16.5">
      <c r="A76" s="121"/>
      <c r="B76" s="195" t="s">
        <v>167</v>
      </c>
      <c r="C76" s="190"/>
      <c r="D76" s="193"/>
      <c r="E76" s="229"/>
      <c r="F76" s="229"/>
      <c r="G76" s="229"/>
      <c r="H76" s="231"/>
      <c r="I76" s="231"/>
      <c r="J76" s="115"/>
    </row>
    <row r="77" spans="1:10" s="116" customFormat="1" ht="16.5">
      <c r="A77" s="176">
        <v>4</v>
      </c>
      <c r="B77" s="184" t="s">
        <v>7</v>
      </c>
      <c r="C77" s="190"/>
      <c r="D77" s="193"/>
      <c r="E77" s="229"/>
      <c r="F77" s="229"/>
      <c r="G77" s="229"/>
      <c r="H77" s="231"/>
      <c r="I77" s="231"/>
      <c r="J77" s="115"/>
    </row>
    <row r="78" spans="1:10" s="116" customFormat="1" ht="16.5">
      <c r="A78" s="178"/>
      <c r="B78" s="189" t="s">
        <v>168</v>
      </c>
      <c r="C78" s="190" t="s">
        <v>130</v>
      </c>
      <c r="D78" s="193">
        <v>1</v>
      </c>
      <c r="E78" s="229"/>
      <c r="F78" s="229"/>
      <c r="G78" s="229"/>
      <c r="H78" s="231"/>
      <c r="I78" s="231"/>
      <c r="J78" s="115"/>
    </row>
    <row r="79" spans="1:10" s="116" customFormat="1" ht="35.25">
      <c r="A79" s="178"/>
      <c r="B79" s="189" t="s">
        <v>169</v>
      </c>
      <c r="C79" s="190" t="s">
        <v>130</v>
      </c>
      <c r="D79" s="193">
        <v>1</v>
      </c>
      <c r="E79" s="229"/>
      <c r="F79" s="229"/>
      <c r="G79" s="229"/>
      <c r="H79" s="231"/>
      <c r="I79" s="231"/>
      <c r="J79" s="115"/>
    </row>
    <row r="80" spans="1:10" s="116" customFormat="1" ht="16.5">
      <c r="A80" s="178"/>
      <c r="B80" s="193" t="s">
        <v>170</v>
      </c>
      <c r="C80" s="190" t="s">
        <v>130</v>
      </c>
      <c r="D80" s="193">
        <v>1</v>
      </c>
      <c r="E80" s="229"/>
      <c r="F80" s="229"/>
      <c r="G80" s="229"/>
      <c r="H80" s="231"/>
      <c r="I80" s="231"/>
      <c r="J80" s="115"/>
    </row>
    <row r="81" spans="1:10" s="116" customFormat="1" ht="24">
      <c r="A81" s="178"/>
      <c r="B81" s="189" t="s">
        <v>171</v>
      </c>
      <c r="C81" s="190" t="s">
        <v>130</v>
      </c>
      <c r="D81" s="193">
        <v>1</v>
      </c>
      <c r="E81" s="229"/>
      <c r="F81" s="229"/>
      <c r="G81" s="229"/>
      <c r="H81" s="231"/>
      <c r="I81" s="231"/>
      <c r="J81" s="115"/>
    </row>
    <row r="82" spans="1:10" s="116" customFormat="1" ht="16.5">
      <c r="A82" s="179"/>
      <c r="B82" s="193" t="s">
        <v>172</v>
      </c>
      <c r="C82" s="190" t="s">
        <v>130</v>
      </c>
      <c r="D82" s="193">
        <v>1</v>
      </c>
      <c r="E82" s="229"/>
      <c r="F82" s="229"/>
      <c r="G82" s="229"/>
      <c r="H82" s="231"/>
      <c r="I82" s="231"/>
      <c r="J82" s="115"/>
    </row>
    <row r="83" spans="1:10" s="116" customFormat="1" ht="16.5">
      <c r="A83" s="122"/>
      <c r="B83" s="195" t="s">
        <v>108</v>
      </c>
      <c r="C83" s="190"/>
      <c r="D83" s="193"/>
      <c r="E83" s="229"/>
      <c r="F83" s="235"/>
      <c r="G83" s="236"/>
      <c r="H83" s="231"/>
      <c r="I83" s="231"/>
      <c r="J83" s="123"/>
    </row>
    <row r="84" spans="1:10" s="116" customFormat="1" ht="16.5">
      <c r="A84" s="122"/>
      <c r="B84" s="195"/>
      <c r="C84" s="190"/>
      <c r="D84" s="193"/>
      <c r="E84" s="229"/>
      <c r="F84" s="235"/>
      <c r="G84" s="235"/>
      <c r="H84" s="231"/>
      <c r="I84" s="231"/>
      <c r="J84" s="123"/>
    </row>
    <row r="85" spans="1:10" s="116" customFormat="1" ht="16.5">
      <c r="A85" s="181">
        <v>5</v>
      </c>
      <c r="B85" s="204" t="s">
        <v>173</v>
      </c>
      <c r="C85" s="190"/>
      <c r="D85" s="193"/>
      <c r="E85" s="229"/>
      <c r="F85" s="229"/>
      <c r="G85" s="229"/>
      <c r="H85" s="231"/>
      <c r="I85" s="231"/>
      <c r="J85" s="123"/>
    </row>
    <row r="86" spans="1:10" s="116" customFormat="1" ht="24">
      <c r="A86" s="178"/>
      <c r="B86" s="189" t="s">
        <v>174</v>
      </c>
      <c r="C86" s="190" t="s">
        <v>111</v>
      </c>
      <c r="D86" s="193">
        <v>36</v>
      </c>
      <c r="E86" s="234"/>
      <c r="F86" s="229"/>
      <c r="G86" s="229"/>
      <c r="H86" s="231"/>
      <c r="I86" s="231"/>
      <c r="J86" s="123"/>
    </row>
    <row r="87" spans="1:10" s="116" customFormat="1" ht="16.5">
      <c r="A87" s="178"/>
      <c r="B87" s="191" t="s">
        <v>175</v>
      </c>
      <c r="C87" s="205" t="s">
        <v>92</v>
      </c>
      <c r="D87" s="191">
        <f>'výkopky a odkopky_bilance'!C43+'výkopky a odkopky_bilance'!C68</f>
        <v>177.11291999999995</v>
      </c>
      <c r="E87" s="234"/>
      <c r="F87" s="234"/>
      <c r="G87" s="229"/>
      <c r="H87" s="238"/>
      <c r="I87" s="238"/>
      <c r="J87" s="123"/>
    </row>
    <row r="88" spans="1:10" s="116" customFormat="1" ht="35.25">
      <c r="A88" s="178"/>
      <c r="B88" s="202" t="s">
        <v>176</v>
      </c>
      <c r="C88" s="205" t="s">
        <v>92</v>
      </c>
      <c r="D88" s="191">
        <f>'výkopky a odkopky_bilance'!D44</f>
        <v>33.839000000000006</v>
      </c>
      <c r="E88" s="234"/>
      <c r="F88" s="234"/>
      <c r="G88" s="229"/>
      <c r="H88" s="238"/>
      <c r="I88" s="238"/>
      <c r="J88" s="123"/>
    </row>
    <row r="89" spans="1:10" s="116" customFormat="1" ht="16.5">
      <c r="A89" s="178"/>
      <c r="B89" s="191" t="s">
        <v>177</v>
      </c>
      <c r="C89" s="205"/>
      <c r="D89" s="191"/>
      <c r="E89" s="234"/>
      <c r="F89" s="234"/>
      <c r="G89" s="234"/>
      <c r="H89" s="238"/>
      <c r="I89" s="238"/>
      <c r="J89" s="123"/>
    </row>
    <row r="90" spans="1:10" s="116" customFormat="1" ht="24">
      <c r="A90" s="178"/>
      <c r="B90" s="206" t="s">
        <v>178</v>
      </c>
      <c r="C90" s="205"/>
      <c r="D90" s="191"/>
      <c r="E90" s="234"/>
      <c r="F90" s="234"/>
      <c r="G90" s="234"/>
      <c r="H90" s="238"/>
      <c r="I90" s="238"/>
      <c r="J90" s="123"/>
    </row>
    <row r="91" spans="1:10" s="116" customFormat="1" ht="24">
      <c r="A91" s="178"/>
      <c r="B91" s="207" t="s">
        <v>179</v>
      </c>
      <c r="C91" s="190" t="s">
        <v>111</v>
      </c>
      <c r="D91" s="193">
        <f>D86</f>
        <v>36</v>
      </c>
      <c r="E91" s="229"/>
      <c r="F91" s="229"/>
      <c r="G91" s="229"/>
      <c r="H91" s="231"/>
      <c r="I91" s="231"/>
      <c r="J91" s="123"/>
    </row>
    <row r="92" spans="1:10" s="116" customFormat="1" ht="16.5">
      <c r="A92" s="178"/>
      <c r="B92" s="193" t="s">
        <v>180</v>
      </c>
      <c r="C92" s="190"/>
      <c r="D92" s="193"/>
      <c r="E92" s="229"/>
      <c r="F92" s="229"/>
      <c r="G92" s="229"/>
      <c r="H92" s="231"/>
      <c r="I92" s="231"/>
      <c r="J92" s="123"/>
    </row>
    <row r="93" spans="1:10" s="116" customFormat="1" ht="24">
      <c r="A93" s="178"/>
      <c r="B93" s="208" t="s">
        <v>181</v>
      </c>
      <c r="C93" s="190" t="s">
        <v>111</v>
      </c>
      <c r="D93" s="193">
        <f>D86</f>
        <v>36</v>
      </c>
      <c r="E93" s="229"/>
      <c r="F93" s="229"/>
      <c r="G93" s="229"/>
      <c r="H93" s="231"/>
      <c r="I93" s="231"/>
      <c r="J93" s="123"/>
    </row>
    <row r="94" spans="1:10" s="116" customFormat="1" ht="24">
      <c r="A94" s="178"/>
      <c r="B94" s="199" t="s">
        <v>182</v>
      </c>
      <c r="C94" s="190"/>
      <c r="D94" s="193"/>
      <c r="E94" s="229"/>
      <c r="F94" s="229"/>
      <c r="G94" s="229"/>
      <c r="H94" s="231"/>
      <c r="I94" s="231"/>
      <c r="J94" s="123"/>
    </row>
    <row r="95" spans="1:10" s="116" customFormat="1" ht="24">
      <c r="A95" s="178"/>
      <c r="B95" s="189" t="s">
        <v>183</v>
      </c>
      <c r="C95" s="190" t="s">
        <v>92</v>
      </c>
      <c r="D95" s="193">
        <f>1.19*D86</f>
        <v>42.839999999999996</v>
      </c>
      <c r="E95" s="229"/>
      <c r="F95" s="229"/>
      <c r="G95" s="229"/>
      <c r="H95" s="231"/>
      <c r="I95" s="231"/>
      <c r="J95" s="123"/>
    </row>
    <row r="96" spans="1:10" s="116" customFormat="1" ht="24">
      <c r="A96" s="178"/>
      <c r="B96" s="189" t="s">
        <v>184</v>
      </c>
      <c r="C96" s="190" t="s">
        <v>92</v>
      </c>
      <c r="D96" s="193">
        <f>2.7*D86</f>
        <v>97.2</v>
      </c>
      <c r="E96" s="229"/>
      <c r="F96" s="229"/>
      <c r="G96" s="229"/>
      <c r="H96" s="231"/>
      <c r="I96" s="231"/>
      <c r="J96" s="123"/>
    </row>
    <row r="97" spans="1:10" s="116" customFormat="1" ht="24">
      <c r="A97" s="178"/>
      <c r="B97" s="189" t="s">
        <v>185</v>
      </c>
      <c r="C97" s="190" t="s">
        <v>143</v>
      </c>
      <c r="D97" s="193">
        <f>0.87*D86</f>
        <v>31.32</v>
      </c>
      <c r="E97" s="229"/>
      <c r="F97" s="229"/>
      <c r="G97" s="229"/>
      <c r="H97" s="231"/>
      <c r="I97" s="231"/>
      <c r="J97" s="123"/>
    </row>
    <row r="98" spans="1:10" s="116" customFormat="1" ht="16.5">
      <c r="A98" s="178"/>
      <c r="B98" s="189" t="s">
        <v>186</v>
      </c>
      <c r="C98" s="190" t="s">
        <v>92</v>
      </c>
      <c r="D98" s="193">
        <f>D97</f>
        <v>31.32</v>
      </c>
      <c r="E98" s="234"/>
      <c r="F98" s="229"/>
      <c r="G98" s="229"/>
      <c r="H98" s="231"/>
      <c r="I98" s="231"/>
      <c r="J98" s="123"/>
    </row>
    <row r="99" spans="1:10" s="116" customFormat="1" ht="24">
      <c r="A99" s="178"/>
      <c r="B99" s="189" t="s">
        <v>187</v>
      </c>
      <c r="C99" s="190" t="s">
        <v>143</v>
      </c>
      <c r="D99" s="193">
        <f>4.16*D86</f>
        <v>149.76</v>
      </c>
      <c r="E99" s="229"/>
      <c r="F99" s="229"/>
      <c r="G99" s="229"/>
      <c r="H99" s="231"/>
      <c r="I99" s="231"/>
      <c r="J99" s="123"/>
    </row>
    <row r="100" spans="1:10" s="116" customFormat="1" ht="16.5">
      <c r="A100" s="178"/>
      <c r="B100" s="189" t="s">
        <v>188</v>
      </c>
      <c r="C100" s="190" t="s">
        <v>143</v>
      </c>
      <c r="D100" s="193">
        <f>8.32*D91</f>
        <v>299.52</v>
      </c>
      <c r="E100" s="229"/>
      <c r="F100" s="229"/>
      <c r="G100" s="229"/>
      <c r="H100" s="231"/>
      <c r="I100" s="231"/>
      <c r="J100" s="123"/>
    </row>
    <row r="101" spans="1:10" s="116" customFormat="1" ht="24">
      <c r="A101" s="178"/>
      <c r="B101" s="189" t="s">
        <v>189</v>
      </c>
      <c r="C101" s="190" t="s">
        <v>111</v>
      </c>
      <c r="D101" s="193">
        <f>1.5*D86</f>
        <v>54</v>
      </c>
      <c r="E101" s="229"/>
      <c r="F101" s="229"/>
      <c r="G101" s="229"/>
      <c r="H101" s="231"/>
      <c r="I101" s="231"/>
      <c r="J101" s="123"/>
    </row>
    <row r="102" spans="1:10" s="116" customFormat="1" ht="16.5">
      <c r="A102" s="178"/>
      <c r="B102" s="193" t="s">
        <v>190</v>
      </c>
      <c r="C102" s="190" t="s">
        <v>92</v>
      </c>
      <c r="D102" s="193">
        <f>0.0075*D86</f>
        <v>0.27</v>
      </c>
      <c r="E102" s="229"/>
      <c r="F102" s="229"/>
      <c r="G102" s="229"/>
      <c r="H102" s="231"/>
      <c r="I102" s="231"/>
      <c r="J102" s="123"/>
    </row>
    <row r="103" spans="1:10" s="116" customFormat="1" ht="16.5">
      <c r="A103" s="178"/>
      <c r="B103" s="193" t="s">
        <v>191</v>
      </c>
      <c r="C103" s="190"/>
      <c r="D103" s="193"/>
      <c r="E103" s="229"/>
      <c r="F103" s="229"/>
      <c r="G103" s="229"/>
      <c r="H103" s="231"/>
      <c r="I103" s="231"/>
      <c r="J103" s="123"/>
    </row>
    <row r="104" spans="1:10" s="116" customFormat="1" ht="52.5" customHeight="1">
      <c r="A104" s="178"/>
      <c r="B104" s="189" t="s">
        <v>192</v>
      </c>
      <c r="C104" s="190" t="s">
        <v>143</v>
      </c>
      <c r="D104" s="191">
        <f>1.96*1.3*31</f>
        <v>78.988</v>
      </c>
      <c r="E104" s="229"/>
      <c r="F104" s="229"/>
      <c r="G104" s="229"/>
      <c r="H104" s="231"/>
      <c r="I104" s="231"/>
      <c r="J104" s="123"/>
    </row>
    <row r="105" spans="1:10" s="116" customFormat="1" ht="30.75" customHeight="1">
      <c r="A105" s="178"/>
      <c r="B105" s="199" t="s">
        <v>193</v>
      </c>
      <c r="C105" s="190"/>
      <c r="D105" s="209"/>
      <c r="E105" s="229"/>
      <c r="F105" s="229"/>
      <c r="G105" s="229"/>
      <c r="H105" s="231"/>
      <c r="I105" s="231"/>
      <c r="J105" s="123"/>
    </row>
    <row r="106" spans="1:10" s="116" customFormat="1" ht="12" customHeight="1">
      <c r="A106" s="178"/>
      <c r="B106" s="199" t="s">
        <v>194</v>
      </c>
      <c r="C106" s="190"/>
      <c r="D106" s="209"/>
      <c r="E106" s="229"/>
      <c r="F106" s="229"/>
      <c r="G106" s="229"/>
      <c r="H106" s="231"/>
      <c r="I106" s="231"/>
      <c r="J106" s="123"/>
    </row>
    <row r="107" spans="1:10" s="116" customFormat="1" ht="21" customHeight="1">
      <c r="A107" s="178"/>
      <c r="B107" s="189" t="s">
        <v>195</v>
      </c>
      <c r="C107" s="190" t="s">
        <v>196</v>
      </c>
      <c r="D107" s="193">
        <f>D104</f>
        <v>78.988</v>
      </c>
      <c r="E107" s="234"/>
      <c r="F107" s="229"/>
      <c r="G107" s="229"/>
      <c r="H107" s="231"/>
      <c r="I107" s="231"/>
      <c r="J107" s="123"/>
    </row>
    <row r="108" spans="1:10" s="116" customFormat="1" ht="24">
      <c r="A108" s="178"/>
      <c r="B108" s="189" t="s">
        <v>197</v>
      </c>
      <c r="C108" s="190" t="s">
        <v>143</v>
      </c>
      <c r="D108" s="193">
        <f>D104</f>
        <v>78.988</v>
      </c>
      <c r="E108" s="229"/>
      <c r="F108" s="229"/>
      <c r="G108" s="229"/>
      <c r="H108" s="231"/>
      <c r="I108" s="231"/>
      <c r="J108" s="123"/>
    </row>
    <row r="109" spans="1:10" s="116" customFormat="1" ht="16.5">
      <c r="A109" s="178"/>
      <c r="B109" s="189" t="s">
        <v>198</v>
      </c>
      <c r="C109" s="190"/>
      <c r="D109" s="193"/>
      <c r="E109" s="229"/>
      <c r="F109" s="229"/>
      <c r="G109" s="229"/>
      <c r="H109" s="231"/>
      <c r="I109" s="231"/>
      <c r="J109" s="123"/>
    </row>
    <row r="110" spans="1:10" s="116" customFormat="1" ht="46.5">
      <c r="A110" s="178"/>
      <c r="B110" s="189" t="s">
        <v>199</v>
      </c>
      <c r="C110" s="190" t="s">
        <v>143</v>
      </c>
      <c r="D110" s="193">
        <f>4.8*3</f>
        <v>14.399999999999999</v>
      </c>
      <c r="E110" s="229"/>
      <c r="F110" s="229"/>
      <c r="G110" s="229"/>
      <c r="H110" s="231"/>
      <c r="I110" s="231"/>
      <c r="J110" s="123"/>
    </row>
    <row r="111" spans="1:10" s="116" customFormat="1" ht="16.5">
      <c r="A111" s="178"/>
      <c r="B111" s="189" t="s">
        <v>200</v>
      </c>
      <c r="C111" s="190"/>
      <c r="D111" s="193"/>
      <c r="E111" s="229"/>
      <c r="F111" s="229"/>
      <c r="G111" s="229"/>
      <c r="H111" s="231"/>
      <c r="I111" s="231"/>
      <c r="J111" s="123"/>
    </row>
    <row r="112" spans="1:10" s="125" customFormat="1" ht="46.5">
      <c r="A112" s="178"/>
      <c r="B112" s="189" t="s">
        <v>201</v>
      </c>
      <c r="C112" s="190" t="s">
        <v>111</v>
      </c>
      <c r="D112" s="193">
        <f>D86</f>
        <v>36</v>
      </c>
      <c r="E112" s="234"/>
      <c r="F112" s="229"/>
      <c r="G112" s="229"/>
      <c r="H112" s="238"/>
      <c r="I112" s="238"/>
      <c r="J112" s="124"/>
    </row>
    <row r="113" spans="1:10" s="125" customFormat="1" ht="34.5" customHeight="1">
      <c r="A113" s="178"/>
      <c r="B113" s="202" t="s">
        <v>202</v>
      </c>
      <c r="C113" s="190" t="s">
        <v>111</v>
      </c>
      <c r="D113" s="193">
        <f>D86</f>
        <v>36</v>
      </c>
      <c r="E113" s="234"/>
      <c r="F113" s="229"/>
      <c r="G113" s="229"/>
      <c r="H113" s="238"/>
      <c r="I113" s="238"/>
      <c r="J113" s="124"/>
    </row>
    <row r="114" spans="1:10" s="125" customFormat="1" ht="35.25">
      <c r="A114" s="178"/>
      <c r="B114" s="202" t="s">
        <v>203</v>
      </c>
      <c r="C114" s="190" t="s">
        <v>111</v>
      </c>
      <c r="D114" s="193">
        <f>D86*9</f>
        <v>324</v>
      </c>
      <c r="E114" s="229"/>
      <c r="F114" s="229"/>
      <c r="G114" s="229"/>
      <c r="H114" s="238"/>
      <c r="I114" s="238"/>
      <c r="J114" s="124"/>
    </row>
    <row r="115" spans="1:10" s="125" customFormat="1" ht="16.5">
      <c r="A115" s="178"/>
      <c r="B115" s="191" t="s">
        <v>204</v>
      </c>
      <c r="C115" s="190" t="s">
        <v>196</v>
      </c>
      <c r="D115" s="193">
        <f>10*D93</f>
        <v>360</v>
      </c>
      <c r="E115" s="229"/>
      <c r="F115" s="229"/>
      <c r="G115" s="229"/>
      <c r="H115" s="244"/>
      <c r="I115" s="244"/>
      <c r="J115" s="124"/>
    </row>
    <row r="116" spans="1:10" s="116" customFormat="1" ht="24">
      <c r="A116" s="178"/>
      <c r="B116" s="189" t="s">
        <v>205</v>
      </c>
      <c r="C116" s="190" t="s">
        <v>143</v>
      </c>
      <c r="D116" s="193">
        <f>1.5*D86</f>
        <v>54</v>
      </c>
      <c r="E116" s="229"/>
      <c r="F116" s="229"/>
      <c r="G116" s="229"/>
      <c r="H116" s="231"/>
      <c r="I116" s="231"/>
      <c r="J116" s="123"/>
    </row>
    <row r="117" spans="1:10" s="116" customFormat="1" ht="24">
      <c r="A117" s="178"/>
      <c r="B117" s="189" t="s">
        <v>206</v>
      </c>
      <c r="C117" s="190" t="s">
        <v>143</v>
      </c>
      <c r="D117" s="193">
        <f>1.65*D86</f>
        <v>59.4</v>
      </c>
      <c r="E117" s="229"/>
      <c r="F117" s="229"/>
      <c r="G117" s="229"/>
      <c r="H117" s="231"/>
      <c r="I117" s="231"/>
      <c r="J117" s="123"/>
    </row>
    <row r="118" spans="1:10" s="116" customFormat="1" ht="16.5">
      <c r="A118" s="178"/>
      <c r="B118" s="189" t="s">
        <v>207</v>
      </c>
      <c r="C118" s="190" t="s">
        <v>111</v>
      </c>
      <c r="D118" s="193">
        <f>D86</f>
        <v>36</v>
      </c>
      <c r="E118" s="229"/>
      <c r="F118" s="229"/>
      <c r="G118" s="229"/>
      <c r="H118" s="231"/>
      <c r="I118" s="231"/>
      <c r="J118" s="123"/>
    </row>
    <row r="119" spans="1:10" s="116" customFormat="1" ht="16.5">
      <c r="A119" s="178"/>
      <c r="B119" s="193" t="s">
        <v>208</v>
      </c>
      <c r="C119" s="190" t="s">
        <v>111</v>
      </c>
      <c r="D119" s="192">
        <f>D86</f>
        <v>36</v>
      </c>
      <c r="E119" s="229"/>
      <c r="F119" s="229"/>
      <c r="G119" s="229"/>
      <c r="H119" s="231"/>
      <c r="I119" s="231"/>
      <c r="J119" s="123"/>
    </row>
    <row r="120" spans="1:10" s="116" customFormat="1" ht="16.5">
      <c r="A120" s="178"/>
      <c r="B120" s="193" t="s">
        <v>209</v>
      </c>
      <c r="C120" s="190" t="s">
        <v>92</v>
      </c>
      <c r="D120" s="192">
        <f>0.1*D86</f>
        <v>3.6</v>
      </c>
      <c r="E120" s="229"/>
      <c r="F120" s="229"/>
      <c r="G120" s="229"/>
      <c r="H120" s="231"/>
      <c r="I120" s="231"/>
      <c r="J120" s="123"/>
    </row>
    <row r="121" spans="1:10" s="116" customFormat="1" ht="24">
      <c r="A121" s="178"/>
      <c r="B121" s="189" t="s">
        <v>210</v>
      </c>
      <c r="C121" s="205" t="s">
        <v>92</v>
      </c>
      <c r="D121" s="210">
        <f>D120</f>
        <v>3.6</v>
      </c>
      <c r="E121" s="234"/>
      <c r="F121" s="234"/>
      <c r="G121" s="234"/>
      <c r="H121" s="231"/>
      <c r="I121" s="231"/>
      <c r="J121" s="123"/>
    </row>
    <row r="122" spans="1:10" s="116" customFormat="1" ht="16.5">
      <c r="A122" s="178"/>
      <c r="B122" s="193" t="s">
        <v>211</v>
      </c>
      <c r="C122" s="190"/>
      <c r="D122" s="193"/>
      <c r="E122" s="229"/>
      <c r="F122" s="229"/>
      <c r="G122" s="229"/>
      <c r="H122" s="231"/>
      <c r="I122" s="231"/>
      <c r="J122" s="123"/>
    </row>
    <row r="123" spans="1:10" s="116" customFormat="1" ht="35.25">
      <c r="A123" s="182"/>
      <c r="B123" s="202" t="s">
        <v>212</v>
      </c>
      <c r="C123" s="205" t="s">
        <v>143</v>
      </c>
      <c r="D123" s="210">
        <f>3.78*D86</f>
        <v>136.08</v>
      </c>
      <c r="E123" s="234"/>
      <c r="F123" s="234"/>
      <c r="G123" s="234"/>
      <c r="H123" s="238"/>
      <c r="I123" s="238"/>
      <c r="J123" s="123"/>
    </row>
    <row r="124" spans="1:10" s="116" customFormat="1" ht="24">
      <c r="A124" s="182"/>
      <c r="B124" s="202" t="s">
        <v>187</v>
      </c>
      <c r="C124" s="205" t="s">
        <v>143</v>
      </c>
      <c r="D124" s="210">
        <f>4.16*D86</f>
        <v>149.76</v>
      </c>
      <c r="E124" s="234"/>
      <c r="F124" s="234"/>
      <c r="G124" s="234"/>
      <c r="H124" s="238"/>
      <c r="I124" s="238"/>
      <c r="J124" s="123"/>
    </row>
    <row r="125" spans="1:10" s="116" customFormat="1" ht="16.5">
      <c r="A125" s="182"/>
      <c r="B125" s="189" t="s">
        <v>188</v>
      </c>
      <c r="C125" s="190" t="s">
        <v>143</v>
      </c>
      <c r="D125" s="193">
        <f>4.16*D86</f>
        <v>149.76</v>
      </c>
      <c r="E125" s="229"/>
      <c r="F125" s="234"/>
      <c r="G125" s="229"/>
      <c r="H125" s="231"/>
      <c r="I125" s="231"/>
      <c r="J125" s="123"/>
    </row>
    <row r="126" spans="1:10" s="116" customFormat="1" ht="16.5">
      <c r="A126" s="182"/>
      <c r="B126" s="193" t="s">
        <v>213</v>
      </c>
      <c r="C126" s="190" t="s">
        <v>128</v>
      </c>
      <c r="D126" s="192">
        <v>1.7</v>
      </c>
      <c r="E126" s="229"/>
      <c r="F126" s="234"/>
      <c r="G126" s="229"/>
      <c r="H126" s="231"/>
      <c r="I126" s="231"/>
      <c r="J126" s="123"/>
    </row>
    <row r="127" spans="1:10" s="116" customFormat="1" ht="16.5">
      <c r="A127" s="178"/>
      <c r="B127" s="211" t="s">
        <v>214</v>
      </c>
      <c r="C127" s="212"/>
      <c r="D127" s="212"/>
      <c r="E127" s="245"/>
      <c r="F127" s="245"/>
      <c r="G127" s="245"/>
      <c r="H127" s="245"/>
      <c r="I127" s="245"/>
      <c r="J127" s="123"/>
    </row>
    <row r="128" spans="1:10" s="116" customFormat="1" ht="35.25">
      <c r="A128" s="178"/>
      <c r="B128" s="213" t="s">
        <v>215</v>
      </c>
      <c r="C128" s="214" t="s">
        <v>111</v>
      </c>
      <c r="D128" s="214">
        <v>33</v>
      </c>
      <c r="E128" s="245"/>
      <c r="F128" s="245"/>
      <c r="G128" s="245"/>
      <c r="H128" s="245"/>
      <c r="I128" s="245"/>
      <c r="J128" s="123"/>
    </row>
    <row r="129" spans="1:10" s="116" customFormat="1" ht="24">
      <c r="A129" s="178"/>
      <c r="B129" s="215" t="s">
        <v>216</v>
      </c>
      <c r="C129" s="214" t="s">
        <v>92</v>
      </c>
      <c r="D129" s="214">
        <f>0.165*D128</f>
        <v>5.445</v>
      </c>
      <c r="E129" s="246"/>
      <c r="F129" s="245"/>
      <c r="G129" s="247"/>
      <c r="H129" s="245"/>
      <c r="I129" s="245"/>
      <c r="J129" s="123"/>
    </row>
    <row r="130" spans="1:10" s="116" customFormat="1" ht="35.25">
      <c r="A130" s="178"/>
      <c r="B130" s="189" t="s">
        <v>217</v>
      </c>
      <c r="C130" s="190" t="s">
        <v>92</v>
      </c>
      <c r="D130" s="192">
        <f>0.39*D128</f>
        <v>12.870000000000001</v>
      </c>
      <c r="E130" s="229"/>
      <c r="F130" s="229"/>
      <c r="G130" s="248"/>
      <c r="H130" s="231"/>
      <c r="I130" s="231"/>
      <c r="J130" s="123"/>
    </row>
    <row r="131" spans="1:10" s="116" customFormat="1" ht="16.5">
      <c r="A131" s="178"/>
      <c r="B131" s="193" t="s">
        <v>218</v>
      </c>
      <c r="C131" s="190" t="s">
        <v>92</v>
      </c>
      <c r="D131" s="192">
        <f>D130</f>
        <v>12.870000000000001</v>
      </c>
      <c r="E131" s="229"/>
      <c r="F131" s="229"/>
      <c r="G131" s="247"/>
      <c r="H131" s="231"/>
      <c r="I131" s="231"/>
      <c r="J131" s="123"/>
    </row>
    <row r="132" spans="1:10" s="116" customFormat="1" ht="16.5">
      <c r="A132" s="178"/>
      <c r="B132" s="189" t="s">
        <v>126</v>
      </c>
      <c r="C132" s="190" t="s">
        <v>92</v>
      </c>
      <c r="D132" s="192">
        <f>D130</f>
        <v>12.870000000000001</v>
      </c>
      <c r="E132" s="229"/>
      <c r="F132" s="229"/>
      <c r="G132" s="247"/>
      <c r="H132" s="231"/>
      <c r="I132" s="231"/>
      <c r="J132" s="123"/>
    </row>
    <row r="133" spans="1:10" s="116" customFormat="1" ht="44.25" customHeight="1">
      <c r="A133" s="178"/>
      <c r="B133" s="189" t="s">
        <v>219</v>
      </c>
      <c r="C133" s="190" t="s">
        <v>143</v>
      </c>
      <c r="D133" s="192">
        <f>6.5*0.17*D128</f>
        <v>36.464999999999996</v>
      </c>
      <c r="E133" s="229"/>
      <c r="F133" s="229"/>
      <c r="G133" s="247"/>
      <c r="H133" s="231"/>
      <c r="I133" s="231"/>
      <c r="J133" s="123"/>
    </row>
    <row r="134" spans="1:10" s="116" customFormat="1" ht="24" customHeight="1">
      <c r="A134" s="178"/>
      <c r="B134" s="203" t="s">
        <v>220</v>
      </c>
      <c r="C134" s="190" t="s">
        <v>128</v>
      </c>
      <c r="D134" s="192">
        <f>0.44*1</f>
        <v>0.44</v>
      </c>
      <c r="E134" s="229"/>
      <c r="F134" s="229"/>
      <c r="G134" s="229"/>
      <c r="H134" s="231"/>
      <c r="I134" s="231"/>
      <c r="J134" s="123"/>
    </row>
    <row r="135" spans="1:10" s="116" customFormat="1" ht="14.25" customHeight="1">
      <c r="A135" s="178"/>
      <c r="B135" s="189" t="s">
        <v>221</v>
      </c>
      <c r="C135" s="190" t="s">
        <v>143</v>
      </c>
      <c r="D135" s="192">
        <f>6.5*0.3*D128</f>
        <v>64.35000000000001</v>
      </c>
      <c r="E135" s="229"/>
      <c r="F135" s="229"/>
      <c r="G135" s="229"/>
      <c r="H135" s="231"/>
      <c r="I135" s="231"/>
      <c r="J135" s="123"/>
    </row>
    <row r="136" spans="1:10" s="116" customFormat="1" ht="24">
      <c r="A136" s="178"/>
      <c r="B136" s="203" t="s">
        <v>222</v>
      </c>
      <c r="C136" s="190" t="s">
        <v>92</v>
      </c>
      <c r="D136" s="192">
        <f>0.195*D128</f>
        <v>6.4350000000000005</v>
      </c>
      <c r="E136" s="229"/>
      <c r="F136" s="229"/>
      <c r="G136" s="229"/>
      <c r="H136" s="231"/>
      <c r="I136" s="231"/>
      <c r="J136" s="123"/>
    </row>
    <row r="137" spans="1:10" s="116" customFormat="1" ht="24">
      <c r="A137" s="178"/>
      <c r="B137" s="202" t="s">
        <v>223</v>
      </c>
      <c r="C137" s="205" t="s">
        <v>92</v>
      </c>
      <c r="D137" s="210">
        <f>0.39*D128</f>
        <v>12.870000000000001</v>
      </c>
      <c r="E137" s="234"/>
      <c r="F137" s="234"/>
      <c r="G137" s="234"/>
      <c r="H137" s="238"/>
      <c r="I137" s="238"/>
      <c r="J137" s="123"/>
    </row>
    <row r="138" spans="1:10" s="116" customFormat="1" ht="16.5">
      <c r="A138" s="178"/>
      <c r="B138" s="193" t="s">
        <v>224</v>
      </c>
      <c r="C138" s="190"/>
      <c r="D138" s="192"/>
      <c r="E138" s="229"/>
      <c r="F138" s="229"/>
      <c r="G138" s="229"/>
      <c r="H138" s="231"/>
      <c r="I138" s="231"/>
      <c r="J138" s="123"/>
    </row>
    <row r="139" spans="1:10" s="116" customFormat="1" ht="24">
      <c r="A139" s="178"/>
      <c r="B139" s="189" t="s">
        <v>225</v>
      </c>
      <c r="C139" s="190" t="s">
        <v>111</v>
      </c>
      <c r="D139" s="192">
        <v>4</v>
      </c>
      <c r="E139" s="229"/>
      <c r="F139" s="229"/>
      <c r="G139" s="229"/>
      <c r="H139" s="231"/>
      <c r="I139" s="231"/>
      <c r="J139" s="123"/>
    </row>
    <row r="140" spans="1:10" s="116" customFormat="1" ht="16.5">
      <c r="A140" s="178"/>
      <c r="B140" s="193" t="s">
        <v>226</v>
      </c>
      <c r="C140" s="190" t="s">
        <v>111</v>
      </c>
      <c r="D140" s="192">
        <f>D139</f>
        <v>4</v>
      </c>
      <c r="E140" s="229"/>
      <c r="F140" s="229"/>
      <c r="G140" s="229"/>
      <c r="H140" s="231"/>
      <c r="I140" s="231"/>
      <c r="J140" s="123"/>
    </row>
    <row r="141" spans="1:10" s="116" customFormat="1" ht="16.5">
      <c r="A141" s="178"/>
      <c r="B141" s="186" t="s">
        <v>227</v>
      </c>
      <c r="C141" s="190"/>
      <c r="D141" s="192"/>
      <c r="E141" s="229"/>
      <c r="F141" s="229"/>
      <c r="G141" s="229"/>
      <c r="H141" s="231"/>
      <c r="I141" s="231"/>
      <c r="J141" s="123"/>
    </row>
    <row r="142" spans="1:10" s="116" customFormat="1" ht="16.5">
      <c r="A142" s="178"/>
      <c r="B142" s="186" t="s">
        <v>228</v>
      </c>
      <c r="C142" s="190" t="s">
        <v>111</v>
      </c>
      <c r="D142" s="192">
        <v>3</v>
      </c>
      <c r="E142" s="229"/>
      <c r="F142" s="229"/>
      <c r="G142" s="229"/>
      <c r="H142" s="231"/>
      <c r="I142" s="231"/>
      <c r="J142" s="123"/>
    </row>
    <row r="143" spans="1:10" s="116" customFormat="1" ht="24">
      <c r="A143" s="178"/>
      <c r="B143" s="215" t="s">
        <v>229</v>
      </c>
      <c r="C143" s="214" t="s">
        <v>92</v>
      </c>
      <c r="D143" s="192">
        <f>1.96*1.93*0.08*D142</f>
        <v>0.9078720000000002</v>
      </c>
      <c r="E143" s="229"/>
      <c r="F143" s="229"/>
      <c r="G143" s="229"/>
      <c r="H143" s="231"/>
      <c r="I143" s="231"/>
      <c r="J143" s="123"/>
    </row>
    <row r="144" spans="1:10" s="116" customFormat="1" ht="16.5">
      <c r="A144" s="178"/>
      <c r="B144" s="186" t="s">
        <v>230</v>
      </c>
      <c r="C144" s="214" t="s">
        <v>92</v>
      </c>
      <c r="D144" s="192">
        <f>1.96*1.93*0.2*D142</f>
        <v>2.26968</v>
      </c>
      <c r="E144" s="229"/>
      <c r="F144" s="229"/>
      <c r="G144" s="229"/>
      <c r="H144" s="231"/>
      <c r="I144" s="231"/>
      <c r="J144" s="123"/>
    </row>
    <row r="145" spans="1:10" s="116" customFormat="1" ht="16.5">
      <c r="A145" s="178"/>
      <c r="B145" s="193" t="s">
        <v>218</v>
      </c>
      <c r="C145" s="190" t="s">
        <v>92</v>
      </c>
      <c r="D145" s="192">
        <f>D144</f>
        <v>2.26968</v>
      </c>
      <c r="E145" s="229"/>
      <c r="F145" s="229"/>
      <c r="G145" s="247"/>
      <c r="H145" s="231"/>
      <c r="I145" s="231"/>
      <c r="J145" s="123"/>
    </row>
    <row r="146" spans="1:10" s="116" customFormat="1" ht="16.5">
      <c r="A146" s="178"/>
      <c r="B146" s="189" t="s">
        <v>126</v>
      </c>
      <c r="C146" s="190" t="s">
        <v>92</v>
      </c>
      <c r="D146" s="192">
        <f>D144</f>
        <v>2.26968</v>
      </c>
      <c r="E146" s="229"/>
      <c r="F146" s="229"/>
      <c r="G146" s="247"/>
      <c r="H146" s="231"/>
      <c r="I146" s="231"/>
      <c r="J146" s="123"/>
    </row>
    <row r="147" spans="1:10" s="116" customFormat="1" ht="16.5">
      <c r="A147" s="178"/>
      <c r="B147" s="216" t="s">
        <v>231</v>
      </c>
      <c r="C147" s="190"/>
      <c r="D147" s="192"/>
      <c r="E147" s="229"/>
      <c r="F147" s="229"/>
      <c r="G147" s="229"/>
      <c r="H147" s="231"/>
      <c r="I147" s="231"/>
      <c r="J147" s="123"/>
    </row>
    <row r="148" spans="1:10" s="116" customFormat="1" ht="24">
      <c r="A148" s="178"/>
      <c r="B148" s="189" t="s">
        <v>232</v>
      </c>
      <c r="C148" s="190" t="s">
        <v>143</v>
      </c>
      <c r="D148" s="192">
        <f>6.5*0.17*D142</f>
        <v>3.315</v>
      </c>
      <c r="E148" s="229"/>
      <c r="F148" s="229"/>
      <c r="G148" s="247"/>
      <c r="H148" s="231"/>
      <c r="I148" s="231"/>
      <c r="J148" s="123"/>
    </row>
    <row r="149" spans="1:10" s="116" customFormat="1" ht="16.5">
      <c r="A149" s="178"/>
      <c r="B149" s="203" t="s">
        <v>233</v>
      </c>
      <c r="C149" s="190" t="s">
        <v>128</v>
      </c>
      <c r="D149" s="192">
        <f>0.44*D142</f>
        <v>1.32</v>
      </c>
      <c r="E149" s="229"/>
      <c r="F149" s="229"/>
      <c r="G149" s="229"/>
      <c r="H149" s="231"/>
      <c r="I149" s="231"/>
      <c r="J149" s="123"/>
    </row>
    <row r="150" spans="1:10" s="116" customFormat="1" ht="16.5">
      <c r="A150" s="178"/>
      <c r="B150" s="189" t="s">
        <v>221</v>
      </c>
      <c r="C150" s="190" t="s">
        <v>143</v>
      </c>
      <c r="D150" s="192">
        <f>6.5*0.3*D143</f>
        <v>1.7703504000000005</v>
      </c>
      <c r="E150" s="229"/>
      <c r="F150" s="229"/>
      <c r="G150" s="229"/>
      <c r="H150" s="231"/>
      <c r="I150" s="231"/>
      <c r="J150" s="123"/>
    </row>
    <row r="151" spans="1:10" s="116" customFormat="1" ht="24">
      <c r="A151" s="178"/>
      <c r="B151" s="203" t="s">
        <v>222</v>
      </c>
      <c r="C151" s="190" t="s">
        <v>92</v>
      </c>
      <c r="D151" s="192">
        <f>0.195*D142</f>
        <v>0.585</v>
      </c>
      <c r="E151" s="229"/>
      <c r="F151" s="229"/>
      <c r="G151" s="229"/>
      <c r="H151" s="231"/>
      <c r="I151" s="231"/>
      <c r="J151" s="123"/>
    </row>
    <row r="152" spans="1:10" s="116" customFormat="1" ht="16.5">
      <c r="A152" s="178"/>
      <c r="B152" s="193" t="s">
        <v>234</v>
      </c>
      <c r="C152" s="190" t="s">
        <v>92</v>
      </c>
      <c r="D152" s="192">
        <f>0.39*D142</f>
        <v>1.17</v>
      </c>
      <c r="E152" s="229"/>
      <c r="F152" s="229"/>
      <c r="G152" s="229"/>
      <c r="H152" s="231"/>
      <c r="I152" s="231"/>
      <c r="J152" s="123"/>
    </row>
    <row r="153" spans="1:10" s="116" customFormat="1" ht="16.5">
      <c r="A153" s="178"/>
      <c r="B153" s="186" t="s">
        <v>235</v>
      </c>
      <c r="C153" s="190"/>
      <c r="D153" s="192"/>
      <c r="E153" s="229"/>
      <c r="F153" s="229"/>
      <c r="G153" s="229"/>
      <c r="H153" s="231"/>
      <c r="I153" s="231"/>
      <c r="J153" s="123"/>
    </row>
    <row r="154" spans="1:10" s="116" customFormat="1" ht="16.5">
      <c r="A154" s="178"/>
      <c r="B154" s="216" t="s">
        <v>236</v>
      </c>
      <c r="C154" s="190"/>
      <c r="D154" s="192"/>
      <c r="E154" s="229"/>
      <c r="F154" s="229"/>
      <c r="G154" s="229"/>
      <c r="H154" s="231"/>
      <c r="I154" s="231"/>
      <c r="J154" s="123"/>
    </row>
    <row r="155" spans="1:10" s="116" customFormat="1" ht="16.5">
      <c r="A155" s="178"/>
      <c r="B155" s="202" t="s">
        <v>237</v>
      </c>
      <c r="C155" s="205" t="s">
        <v>92</v>
      </c>
      <c r="D155" s="191">
        <f>'výkopky a odkopky_bilance'!E43*0.08</f>
        <v>2.2184</v>
      </c>
      <c r="E155" s="234"/>
      <c r="F155" s="234"/>
      <c r="G155" s="234"/>
      <c r="H155" s="238"/>
      <c r="I155" s="238"/>
      <c r="J155" s="123"/>
    </row>
    <row r="156" spans="1:10" s="116" customFormat="1" ht="16.5">
      <c r="A156" s="178"/>
      <c r="B156" s="202" t="s">
        <v>238</v>
      </c>
      <c r="C156" s="205" t="s">
        <v>92</v>
      </c>
      <c r="D156" s="191">
        <f>0.08*'výkopky a odkopky_bilance'!E43</f>
        <v>2.2184</v>
      </c>
      <c r="E156" s="229"/>
      <c r="F156" s="234"/>
      <c r="G156" s="234"/>
      <c r="H156" s="238"/>
      <c r="I156" s="238"/>
      <c r="J156" s="123"/>
    </row>
    <row r="157" spans="1:10" s="116" customFormat="1" ht="24">
      <c r="A157" s="178"/>
      <c r="B157" s="202" t="s">
        <v>239</v>
      </c>
      <c r="C157" s="205" t="s">
        <v>143</v>
      </c>
      <c r="D157" s="191">
        <f>'výkopky a odkopky_bilance'!E43</f>
        <v>27.73</v>
      </c>
      <c r="E157" s="229"/>
      <c r="F157" s="234"/>
      <c r="G157" s="234"/>
      <c r="H157" s="238"/>
      <c r="I157" s="238"/>
      <c r="J157" s="123"/>
    </row>
    <row r="158" spans="1:10" s="116" customFormat="1" ht="24">
      <c r="A158" s="178"/>
      <c r="B158" s="202" t="s">
        <v>144</v>
      </c>
      <c r="C158" s="205" t="s">
        <v>143</v>
      </c>
      <c r="D158" s="191">
        <f>D157</f>
        <v>27.73</v>
      </c>
      <c r="E158" s="229"/>
      <c r="F158" s="234"/>
      <c r="G158" s="234"/>
      <c r="H158" s="231"/>
      <c r="I158" s="238"/>
      <c r="J158" s="123"/>
    </row>
    <row r="159" spans="1:10" s="116" customFormat="1" ht="16.5">
      <c r="A159" s="179"/>
      <c r="B159" s="193" t="s">
        <v>127</v>
      </c>
      <c r="C159" s="190" t="s">
        <v>128</v>
      </c>
      <c r="D159" s="217">
        <f>I159</f>
        <v>0</v>
      </c>
      <c r="E159" s="229"/>
      <c r="F159" s="229"/>
      <c r="G159" s="229"/>
      <c r="H159" s="231"/>
      <c r="I159" s="231"/>
      <c r="J159" s="123"/>
    </row>
    <row r="160" spans="1:10" s="116" customFormat="1" ht="16.5">
      <c r="A160" s="122"/>
      <c r="B160" s="195"/>
      <c r="C160" s="190"/>
      <c r="D160" s="193"/>
      <c r="E160" s="229"/>
      <c r="F160" s="235"/>
      <c r="G160" s="235"/>
      <c r="H160" s="231"/>
      <c r="I160" s="231"/>
      <c r="J160" s="123"/>
    </row>
    <row r="161" spans="1:10" s="116" customFormat="1" ht="16.5">
      <c r="A161" s="122"/>
      <c r="B161" s="195" t="s">
        <v>108</v>
      </c>
      <c r="C161" s="190"/>
      <c r="D161" s="193"/>
      <c r="E161" s="229"/>
      <c r="F161" s="235"/>
      <c r="G161" s="236"/>
      <c r="H161" s="231"/>
      <c r="I161" s="231"/>
      <c r="J161" s="123"/>
    </row>
    <row r="162" spans="1:10" s="116" customFormat="1" ht="16.5">
      <c r="A162" s="122"/>
      <c r="B162" s="195"/>
      <c r="C162" s="190"/>
      <c r="D162" s="193"/>
      <c r="E162" s="229"/>
      <c r="F162" s="235"/>
      <c r="G162" s="236"/>
      <c r="H162" s="231"/>
      <c r="I162" s="231"/>
      <c r="J162" s="123"/>
    </row>
    <row r="163" spans="1:10" s="116" customFormat="1" ht="16.5">
      <c r="A163" s="122"/>
      <c r="B163" s="195"/>
      <c r="C163" s="190"/>
      <c r="D163" s="193"/>
      <c r="E163" s="229"/>
      <c r="F163" s="235"/>
      <c r="G163" s="236"/>
      <c r="H163" s="231"/>
      <c r="I163" s="231"/>
      <c r="J163" s="123"/>
    </row>
    <row r="164" spans="1:10" s="116" customFormat="1" ht="25.5">
      <c r="A164" s="176">
        <v>6</v>
      </c>
      <c r="B164" s="196" t="s">
        <v>240</v>
      </c>
      <c r="C164" s="190"/>
      <c r="D164" s="193"/>
      <c r="E164" s="229"/>
      <c r="F164" s="235"/>
      <c r="G164" s="236"/>
      <c r="H164" s="231"/>
      <c r="I164" s="231"/>
      <c r="J164" s="123"/>
    </row>
    <row r="165" spans="1:10" s="116" customFormat="1" ht="35.25">
      <c r="A165" s="182"/>
      <c r="B165" s="202" t="s">
        <v>241</v>
      </c>
      <c r="C165" s="205" t="s">
        <v>92</v>
      </c>
      <c r="D165" s="191">
        <f>0.378*44</f>
        <v>16.632</v>
      </c>
      <c r="E165" s="234"/>
      <c r="F165" s="234"/>
      <c r="G165" s="234"/>
      <c r="H165" s="238"/>
      <c r="I165" s="238"/>
      <c r="J165" s="123"/>
    </row>
    <row r="166" spans="1:10" s="116" customFormat="1" ht="16.5">
      <c r="A166" s="178"/>
      <c r="B166" s="191" t="s">
        <v>175</v>
      </c>
      <c r="C166" s="205" t="s">
        <v>92</v>
      </c>
      <c r="D166" s="191">
        <f>D165</f>
        <v>16.632</v>
      </c>
      <c r="E166" s="234"/>
      <c r="F166" s="234"/>
      <c r="G166" s="234"/>
      <c r="H166" s="238"/>
      <c r="I166" s="238"/>
      <c r="J166" s="123"/>
    </row>
    <row r="167" spans="1:10" s="116" customFormat="1" ht="24">
      <c r="A167" s="178"/>
      <c r="B167" s="202" t="s">
        <v>242</v>
      </c>
      <c r="C167" s="205" t="s">
        <v>92</v>
      </c>
      <c r="D167" s="210">
        <f>4.16*0.03*44</f>
        <v>5.4912</v>
      </c>
      <c r="E167" s="234"/>
      <c r="F167" s="234"/>
      <c r="G167" s="234"/>
      <c r="H167" s="249"/>
      <c r="I167" s="249"/>
      <c r="J167" s="123"/>
    </row>
    <row r="168" spans="1:10" s="116" customFormat="1" ht="16.5">
      <c r="A168" s="178"/>
      <c r="B168" s="191" t="s">
        <v>243</v>
      </c>
      <c r="C168" s="190" t="s">
        <v>143</v>
      </c>
      <c r="D168" s="192">
        <f>4.16*44</f>
        <v>183.04000000000002</v>
      </c>
      <c r="E168" s="229"/>
      <c r="F168" s="234"/>
      <c r="G168" s="234"/>
      <c r="H168" s="249"/>
      <c r="I168" s="249"/>
      <c r="J168" s="123"/>
    </row>
    <row r="169" spans="1:10" s="116" customFormat="1" ht="16.5">
      <c r="A169" s="178"/>
      <c r="B169" s="191" t="s">
        <v>244</v>
      </c>
      <c r="C169" s="190" t="s">
        <v>143</v>
      </c>
      <c r="D169" s="192">
        <f>4.16*44</f>
        <v>183.04000000000002</v>
      </c>
      <c r="E169" s="250"/>
      <c r="F169" s="234"/>
      <c r="G169" s="251"/>
      <c r="H169" s="249"/>
      <c r="I169" s="249"/>
      <c r="J169" s="123"/>
    </row>
    <row r="170" spans="1:10" s="116" customFormat="1" ht="24">
      <c r="A170" s="178"/>
      <c r="B170" s="202" t="s">
        <v>245</v>
      </c>
      <c r="C170" s="205" t="s">
        <v>143</v>
      </c>
      <c r="D170" s="210">
        <f>3.78*D126</f>
        <v>6.426</v>
      </c>
      <c r="E170" s="234"/>
      <c r="F170" s="234"/>
      <c r="G170" s="234"/>
      <c r="H170" s="238"/>
      <c r="I170" s="238"/>
      <c r="J170" s="123"/>
    </row>
    <row r="171" spans="1:10" s="116" customFormat="1" ht="16.5">
      <c r="A171" s="178"/>
      <c r="B171" s="193" t="s">
        <v>246</v>
      </c>
      <c r="C171" s="190" t="s">
        <v>92</v>
      </c>
      <c r="D171" s="192">
        <f>0.26*44</f>
        <v>11.440000000000001</v>
      </c>
      <c r="E171" s="229"/>
      <c r="F171" s="229"/>
      <c r="G171" s="229"/>
      <c r="H171" s="231"/>
      <c r="I171" s="231"/>
      <c r="J171" s="123"/>
    </row>
    <row r="172" spans="1:10" s="116" customFormat="1" ht="16.5">
      <c r="A172" s="178"/>
      <c r="B172" s="193" t="s">
        <v>247</v>
      </c>
      <c r="C172" s="190"/>
      <c r="D172" s="192"/>
      <c r="E172" s="229"/>
      <c r="F172" s="229"/>
      <c r="G172" s="229"/>
      <c r="H172" s="231"/>
      <c r="I172" s="231"/>
      <c r="J172" s="123"/>
    </row>
    <row r="173" spans="1:10" s="116" customFormat="1" ht="24">
      <c r="A173" s="178"/>
      <c r="B173" s="189" t="s">
        <v>248</v>
      </c>
      <c r="C173" s="190" t="s">
        <v>111</v>
      </c>
      <c r="D173" s="192">
        <v>2</v>
      </c>
      <c r="E173" s="229"/>
      <c r="F173" s="229"/>
      <c r="G173" s="229"/>
      <c r="H173" s="231"/>
      <c r="I173" s="231"/>
      <c r="J173" s="123"/>
    </row>
    <row r="174" spans="1:10" s="116" customFormat="1" ht="16.5">
      <c r="A174" s="178"/>
      <c r="B174" s="193" t="s">
        <v>249</v>
      </c>
      <c r="C174" s="190" t="s">
        <v>111</v>
      </c>
      <c r="D174" s="192">
        <v>2</v>
      </c>
      <c r="E174" s="229"/>
      <c r="F174" s="229"/>
      <c r="G174" s="229"/>
      <c r="H174" s="231"/>
      <c r="I174" s="231"/>
      <c r="J174" s="123"/>
    </row>
    <row r="175" spans="1:10" s="116" customFormat="1" ht="16.5">
      <c r="A175" s="178"/>
      <c r="B175" s="193" t="s">
        <v>250</v>
      </c>
      <c r="C175" s="190"/>
      <c r="D175" s="192"/>
      <c r="E175" s="229"/>
      <c r="F175" s="229"/>
      <c r="G175" s="229"/>
      <c r="H175" s="231"/>
      <c r="I175" s="231"/>
      <c r="J175" s="123"/>
    </row>
    <row r="176" spans="1:10" s="116" customFormat="1" ht="24">
      <c r="A176" s="178"/>
      <c r="B176" s="199" t="s">
        <v>251</v>
      </c>
      <c r="C176" s="190"/>
      <c r="D176" s="192"/>
      <c r="E176" s="229"/>
      <c r="F176" s="229"/>
      <c r="G176" s="229"/>
      <c r="H176" s="231"/>
      <c r="I176" s="231"/>
      <c r="J176" s="123"/>
    </row>
    <row r="177" spans="1:10" s="116" customFormat="1" ht="24">
      <c r="A177" s="178"/>
      <c r="B177" s="189" t="s">
        <v>252</v>
      </c>
      <c r="C177" s="190" t="s">
        <v>111</v>
      </c>
      <c r="D177" s="192">
        <v>28</v>
      </c>
      <c r="E177" s="229"/>
      <c r="F177" s="229"/>
      <c r="G177" s="229"/>
      <c r="H177" s="231"/>
      <c r="I177" s="231"/>
      <c r="J177" s="123"/>
    </row>
    <row r="178" spans="1:10" s="116" customFormat="1" ht="24">
      <c r="A178" s="178"/>
      <c r="B178" s="189" t="s">
        <v>253</v>
      </c>
      <c r="C178" s="190" t="s">
        <v>111</v>
      </c>
      <c r="D178" s="192">
        <v>28</v>
      </c>
      <c r="E178" s="229"/>
      <c r="F178" s="229"/>
      <c r="G178" s="229"/>
      <c r="H178" s="231"/>
      <c r="I178" s="231"/>
      <c r="J178" s="123"/>
    </row>
    <row r="179" spans="1:10" s="116" customFormat="1" ht="24">
      <c r="A179" s="178"/>
      <c r="B179" s="189" t="s">
        <v>254</v>
      </c>
      <c r="C179" s="190" t="s">
        <v>111</v>
      </c>
      <c r="D179" s="192">
        <v>28</v>
      </c>
      <c r="E179" s="229"/>
      <c r="F179" s="229"/>
      <c r="G179" s="229"/>
      <c r="H179" s="231"/>
      <c r="I179" s="231"/>
      <c r="J179" s="123"/>
    </row>
    <row r="180" spans="1:10" s="116" customFormat="1" ht="16.5">
      <c r="A180" s="179"/>
      <c r="B180" s="193" t="s">
        <v>127</v>
      </c>
      <c r="C180" s="190" t="s">
        <v>128</v>
      </c>
      <c r="D180" s="217">
        <f>I180</f>
        <v>0</v>
      </c>
      <c r="E180" s="229"/>
      <c r="F180" s="229"/>
      <c r="G180" s="229"/>
      <c r="H180" s="231"/>
      <c r="I180" s="231"/>
      <c r="J180" s="123"/>
    </row>
    <row r="181" spans="1:10" s="116" customFormat="1" ht="16.5">
      <c r="A181" s="122"/>
      <c r="B181" s="195"/>
      <c r="C181" s="190"/>
      <c r="D181" s="193"/>
      <c r="E181" s="229"/>
      <c r="F181" s="235"/>
      <c r="G181" s="235"/>
      <c r="H181" s="231"/>
      <c r="I181" s="231"/>
      <c r="J181" s="123"/>
    </row>
    <row r="182" spans="1:10" s="116" customFormat="1" ht="16.5">
      <c r="A182" s="122"/>
      <c r="B182" s="195" t="s">
        <v>108</v>
      </c>
      <c r="C182" s="190"/>
      <c r="D182" s="193"/>
      <c r="E182" s="229"/>
      <c r="F182" s="235"/>
      <c r="G182" s="236"/>
      <c r="H182" s="231"/>
      <c r="I182" s="231"/>
      <c r="J182" s="123"/>
    </row>
    <row r="183" spans="1:10" s="116" customFormat="1" ht="16.5">
      <c r="A183" s="122"/>
      <c r="B183" s="195"/>
      <c r="C183" s="190"/>
      <c r="D183" s="193"/>
      <c r="E183" s="229"/>
      <c r="F183" s="235"/>
      <c r="G183" s="236"/>
      <c r="H183" s="231"/>
      <c r="I183" s="231"/>
      <c r="J183" s="123"/>
    </row>
    <row r="184" spans="1:10" s="116" customFormat="1" ht="16.5">
      <c r="A184" s="122"/>
      <c r="B184" s="193"/>
      <c r="C184" s="190"/>
      <c r="D184" s="193"/>
      <c r="E184" s="229"/>
      <c r="F184" s="235"/>
      <c r="G184" s="229"/>
      <c r="H184" s="231"/>
      <c r="I184" s="231"/>
      <c r="J184" s="123"/>
    </row>
    <row r="185" spans="1:10" s="116" customFormat="1" ht="16.5">
      <c r="A185" s="181">
        <v>7</v>
      </c>
      <c r="B185" s="204" t="s">
        <v>255</v>
      </c>
      <c r="C185" s="190"/>
      <c r="D185" s="193"/>
      <c r="E185" s="229"/>
      <c r="F185" s="229"/>
      <c r="G185" s="229"/>
      <c r="H185" s="231"/>
      <c r="I185" s="231"/>
      <c r="J185" s="123"/>
    </row>
    <row r="186" spans="1:10" s="116" customFormat="1" ht="24">
      <c r="A186" s="183"/>
      <c r="B186" s="189" t="s">
        <v>256</v>
      </c>
      <c r="C186" s="190" t="s">
        <v>111</v>
      </c>
      <c r="D186" s="193">
        <v>1</v>
      </c>
      <c r="E186" s="234"/>
      <c r="F186" s="229"/>
      <c r="G186" s="229"/>
      <c r="H186" s="231"/>
      <c r="I186" s="231"/>
      <c r="J186" s="123"/>
    </row>
    <row r="187" spans="1:10" s="116" customFormat="1" ht="16.5">
      <c r="A187" s="183"/>
      <c r="B187" s="191" t="s">
        <v>175</v>
      </c>
      <c r="C187" s="205" t="s">
        <v>92</v>
      </c>
      <c r="D187" s="191">
        <f>2.92*D186</f>
        <v>2.92</v>
      </c>
      <c r="E187" s="234"/>
      <c r="F187" s="234"/>
      <c r="G187" s="229"/>
      <c r="H187" s="238"/>
      <c r="I187" s="238"/>
      <c r="J187" s="123"/>
    </row>
    <row r="188" spans="1:10" s="116" customFormat="1" ht="16.5">
      <c r="A188" s="183"/>
      <c r="B188" s="191" t="s">
        <v>177</v>
      </c>
      <c r="C188" s="205"/>
      <c r="D188" s="191"/>
      <c r="E188" s="234"/>
      <c r="F188" s="234"/>
      <c r="G188" s="234"/>
      <c r="H188" s="238"/>
      <c r="I188" s="238"/>
      <c r="J188" s="123"/>
    </row>
    <row r="189" spans="1:10" s="116" customFormat="1" ht="24">
      <c r="A189" s="183"/>
      <c r="B189" s="189" t="s">
        <v>257</v>
      </c>
      <c r="C189" s="190" t="s">
        <v>111</v>
      </c>
      <c r="D189" s="193">
        <v>1</v>
      </c>
      <c r="E189" s="229"/>
      <c r="F189" s="229"/>
      <c r="G189" s="229"/>
      <c r="H189" s="231"/>
      <c r="I189" s="231"/>
      <c r="J189" s="123"/>
    </row>
    <row r="190" spans="1:10" s="116" customFormat="1" ht="16.5">
      <c r="A190" s="183"/>
      <c r="B190" s="193" t="s">
        <v>180</v>
      </c>
      <c r="C190" s="190"/>
      <c r="D190" s="193"/>
      <c r="E190" s="229"/>
      <c r="F190" s="229"/>
      <c r="G190" s="229"/>
      <c r="H190" s="231"/>
      <c r="I190" s="231"/>
      <c r="J190" s="123"/>
    </row>
    <row r="191" spans="1:10" s="116" customFormat="1" ht="24">
      <c r="A191" s="183"/>
      <c r="B191" s="208" t="s">
        <v>258</v>
      </c>
      <c r="C191" s="190" t="s">
        <v>111</v>
      </c>
      <c r="D191" s="193">
        <v>1</v>
      </c>
      <c r="E191" s="229"/>
      <c r="F191" s="229"/>
      <c r="G191" s="229"/>
      <c r="H191" s="231"/>
      <c r="I191" s="231"/>
      <c r="J191" s="123"/>
    </row>
    <row r="192" spans="1:10" s="116" customFormat="1" ht="24">
      <c r="A192" s="183"/>
      <c r="B192" s="199" t="s">
        <v>182</v>
      </c>
      <c r="C192" s="190"/>
      <c r="D192" s="193"/>
      <c r="E192" s="229"/>
      <c r="F192" s="229"/>
      <c r="G192" s="229"/>
      <c r="H192" s="231"/>
      <c r="I192" s="231"/>
      <c r="J192" s="123"/>
    </row>
    <row r="193" spans="1:10" s="116" customFormat="1" ht="24">
      <c r="A193" s="183"/>
      <c r="B193" s="189" t="s">
        <v>259</v>
      </c>
      <c r="C193" s="190" t="s">
        <v>92</v>
      </c>
      <c r="D193" s="193">
        <f>0.87*D186</f>
        <v>0.87</v>
      </c>
      <c r="E193" s="229"/>
      <c r="F193" s="229"/>
      <c r="G193" s="229"/>
      <c r="H193" s="231"/>
      <c r="I193" s="231"/>
      <c r="J193" s="123"/>
    </row>
    <row r="194" spans="1:10" s="116" customFormat="1" ht="24">
      <c r="A194" s="183"/>
      <c r="B194" s="189" t="s">
        <v>260</v>
      </c>
      <c r="C194" s="190" t="s">
        <v>92</v>
      </c>
      <c r="D194" s="193">
        <f>1.58*D186</f>
        <v>1.58</v>
      </c>
      <c r="E194" s="229"/>
      <c r="F194" s="229"/>
      <c r="G194" s="229"/>
      <c r="H194" s="231"/>
      <c r="I194" s="231"/>
      <c r="J194" s="123"/>
    </row>
    <row r="195" spans="1:10" s="116" customFormat="1" ht="24">
      <c r="A195" s="183"/>
      <c r="B195" s="202" t="s">
        <v>261</v>
      </c>
      <c r="C195" s="205" t="s">
        <v>143</v>
      </c>
      <c r="D195" s="191">
        <f>1.5*1.5*D186</f>
        <v>2.25</v>
      </c>
      <c r="E195" s="234"/>
      <c r="F195" s="229"/>
      <c r="G195" s="229"/>
      <c r="H195" s="231"/>
      <c r="I195" s="231"/>
      <c r="J195" s="123"/>
    </row>
    <row r="196" spans="1:10" s="116" customFormat="1" ht="16.5">
      <c r="A196" s="183"/>
      <c r="B196" s="202" t="s">
        <v>262</v>
      </c>
      <c r="C196" s="205" t="s">
        <v>92</v>
      </c>
      <c r="D196" s="191">
        <f>0.51*D186</f>
        <v>0.51</v>
      </c>
      <c r="E196" s="234"/>
      <c r="F196" s="229"/>
      <c r="G196" s="229"/>
      <c r="H196" s="231"/>
      <c r="I196" s="231"/>
      <c r="J196" s="123"/>
    </row>
    <row r="197" spans="1:10" s="116" customFormat="1" ht="24">
      <c r="A197" s="183"/>
      <c r="B197" s="189" t="s">
        <v>263</v>
      </c>
      <c r="C197" s="190" t="s">
        <v>143</v>
      </c>
      <c r="D197" s="193">
        <f>2.47*D186</f>
        <v>2.47</v>
      </c>
      <c r="E197" s="229"/>
      <c r="F197" s="229"/>
      <c r="G197" s="229"/>
      <c r="H197" s="231"/>
      <c r="I197" s="231"/>
      <c r="J197" s="123"/>
    </row>
    <row r="198" spans="1:10" s="116" customFormat="1" ht="16.5">
      <c r="A198" s="183"/>
      <c r="B198" s="189" t="s">
        <v>264</v>
      </c>
      <c r="C198" s="190" t="s">
        <v>143</v>
      </c>
      <c r="D198" s="193">
        <f>D197</f>
        <v>2.47</v>
      </c>
      <c r="E198" s="229"/>
      <c r="F198" s="229"/>
      <c r="G198" s="229"/>
      <c r="H198" s="231"/>
      <c r="I198" s="231"/>
      <c r="J198" s="123"/>
    </row>
    <row r="199" spans="1:10" s="116" customFormat="1" ht="24">
      <c r="A199" s="183"/>
      <c r="B199" s="189" t="s">
        <v>189</v>
      </c>
      <c r="C199" s="190" t="s">
        <v>111</v>
      </c>
      <c r="D199" s="193">
        <f>1.5*D186</f>
        <v>1.5</v>
      </c>
      <c r="E199" s="229"/>
      <c r="F199" s="229"/>
      <c r="G199" s="229"/>
      <c r="H199" s="231"/>
      <c r="I199" s="231"/>
      <c r="J199" s="123"/>
    </row>
    <row r="200" spans="1:10" s="116" customFormat="1" ht="16.5">
      <c r="A200" s="183"/>
      <c r="B200" s="193" t="s">
        <v>190</v>
      </c>
      <c r="C200" s="190" t="s">
        <v>92</v>
      </c>
      <c r="D200" s="193">
        <f>0.0075*D186</f>
        <v>0.007500000000000001</v>
      </c>
      <c r="E200" s="229"/>
      <c r="F200" s="229"/>
      <c r="G200" s="229"/>
      <c r="H200" s="231"/>
      <c r="I200" s="231"/>
      <c r="J200" s="123"/>
    </row>
    <row r="201" spans="1:10" s="116" customFormat="1" ht="16.5">
      <c r="A201" s="183"/>
      <c r="B201" s="193" t="s">
        <v>191</v>
      </c>
      <c r="C201" s="190"/>
      <c r="D201" s="193"/>
      <c r="E201" s="229"/>
      <c r="F201" s="229"/>
      <c r="G201" s="229"/>
      <c r="H201" s="231"/>
      <c r="I201" s="231"/>
      <c r="J201" s="123"/>
    </row>
    <row r="202" spans="1:10" s="116" customFormat="1" ht="35.25">
      <c r="A202" s="178"/>
      <c r="B202" s="202" t="s">
        <v>265</v>
      </c>
      <c r="C202" s="190" t="s">
        <v>143</v>
      </c>
      <c r="D202" s="193">
        <f>1.5*D186</f>
        <v>1.5</v>
      </c>
      <c r="E202" s="229"/>
      <c r="F202" s="229"/>
      <c r="G202" s="229"/>
      <c r="H202" s="231"/>
      <c r="I202" s="231"/>
      <c r="J202" s="123"/>
    </row>
    <row r="203" spans="1:10" s="116" customFormat="1" ht="16.5">
      <c r="A203" s="178"/>
      <c r="B203" s="206" t="s">
        <v>266</v>
      </c>
      <c r="C203" s="190"/>
      <c r="D203" s="193"/>
      <c r="E203" s="229"/>
      <c r="F203" s="229"/>
      <c r="G203" s="229"/>
      <c r="H203" s="231"/>
      <c r="I203" s="231"/>
      <c r="J203" s="123"/>
    </row>
    <row r="204" spans="1:10" s="116" customFormat="1" ht="24">
      <c r="A204" s="178"/>
      <c r="B204" s="189" t="s">
        <v>195</v>
      </c>
      <c r="C204" s="190" t="s">
        <v>196</v>
      </c>
      <c r="D204" s="193">
        <f>D202</f>
        <v>1.5</v>
      </c>
      <c r="E204" s="229"/>
      <c r="F204" s="229"/>
      <c r="G204" s="229"/>
      <c r="H204" s="231"/>
      <c r="I204" s="231"/>
      <c r="J204" s="123"/>
    </row>
    <row r="205" spans="1:10" s="116" customFormat="1" ht="24">
      <c r="A205" s="178"/>
      <c r="B205" s="202" t="s">
        <v>267</v>
      </c>
      <c r="C205" s="190" t="s">
        <v>143</v>
      </c>
      <c r="D205" s="193">
        <f>D202</f>
        <v>1.5</v>
      </c>
      <c r="E205" s="229"/>
      <c r="F205" s="229"/>
      <c r="G205" s="229"/>
      <c r="H205" s="231"/>
      <c r="I205" s="231"/>
      <c r="J205" s="123"/>
    </row>
    <row r="206" spans="1:10" s="116" customFormat="1" ht="16.5">
      <c r="A206" s="178"/>
      <c r="B206" s="189" t="s">
        <v>200</v>
      </c>
      <c r="C206" s="190"/>
      <c r="D206" s="193"/>
      <c r="E206" s="229"/>
      <c r="F206" s="229"/>
      <c r="G206" s="229"/>
      <c r="H206" s="231"/>
      <c r="I206" s="231"/>
      <c r="J206" s="123"/>
    </row>
    <row r="207" spans="1:10" s="116" customFormat="1" ht="46.5">
      <c r="A207" s="178"/>
      <c r="B207" s="189" t="s">
        <v>201</v>
      </c>
      <c r="C207" s="190" t="s">
        <v>111</v>
      </c>
      <c r="D207" s="193">
        <f>D186</f>
        <v>1</v>
      </c>
      <c r="E207" s="234"/>
      <c r="F207" s="229"/>
      <c r="G207" s="229"/>
      <c r="H207" s="238"/>
      <c r="I207" s="238"/>
      <c r="J207" s="123"/>
    </row>
    <row r="208" spans="1:10" s="116" customFormat="1" ht="35.25">
      <c r="A208" s="178"/>
      <c r="B208" s="202" t="s">
        <v>202</v>
      </c>
      <c r="C208" s="190" t="s">
        <v>111</v>
      </c>
      <c r="D208" s="193">
        <f>D186</f>
        <v>1</v>
      </c>
      <c r="E208" s="234"/>
      <c r="F208" s="229"/>
      <c r="G208" s="229"/>
      <c r="H208" s="238"/>
      <c r="I208" s="238"/>
      <c r="J208" s="123"/>
    </row>
    <row r="209" spans="1:10" s="116" customFormat="1" ht="35.25">
      <c r="A209" s="178"/>
      <c r="B209" s="202" t="s">
        <v>268</v>
      </c>
      <c r="C209" s="190" t="s">
        <v>111</v>
      </c>
      <c r="D209" s="193">
        <f>9*D186</f>
        <v>9</v>
      </c>
      <c r="E209" s="229"/>
      <c r="F209" s="229"/>
      <c r="G209" s="229"/>
      <c r="H209" s="238"/>
      <c r="I209" s="238"/>
      <c r="J209" s="123"/>
    </row>
    <row r="210" spans="1:10" s="116" customFormat="1" ht="16.5">
      <c r="A210" s="178"/>
      <c r="B210" s="191" t="s">
        <v>204</v>
      </c>
      <c r="C210" s="190" t="s">
        <v>196</v>
      </c>
      <c r="D210" s="193">
        <f>10*D191</f>
        <v>10</v>
      </c>
      <c r="E210" s="229"/>
      <c r="F210" s="229"/>
      <c r="G210" s="229"/>
      <c r="H210" s="244"/>
      <c r="I210" s="244"/>
      <c r="J210" s="123"/>
    </row>
    <row r="211" spans="1:10" s="116" customFormat="1" ht="24">
      <c r="A211" s="178"/>
      <c r="B211" s="189" t="s">
        <v>205</v>
      </c>
      <c r="C211" s="190" t="s">
        <v>143</v>
      </c>
      <c r="D211" s="193">
        <f>1.5*D186</f>
        <v>1.5</v>
      </c>
      <c r="E211" s="229"/>
      <c r="F211" s="229"/>
      <c r="G211" s="229"/>
      <c r="H211" s="231"/>
      <c r="I211" s="231"/>
      <c r="J211" s="123"/>
    </row>
    <row r="212" spans="1:10" s="116" customFormat="1" ht="16.5">
      <c r="A212" s="178"/>
      <c r="B212" s="189" t="s">
        <v>269</v>
      </c>
      <c r="C212" s="190" t="s">
        <v>111</v>
      </c>
      <c r="D212" s="193">
        <f>D186</f>
        <v>1</v>
      </c>
      <c r="E212" s="229"/>
      <c r="F212" s="229"/>
      <c r="G212" s="229"/>
      <c r="H212" s="231"/>
      <c r="I212" s="231"/>
      <c r="J212" s="123"/>
    </row>
    <row r="213" spans="1:10" s="116" customFormat="1" ht="24">
      <c r="A213" s="178"/>
      <c r="B213" s="189" t="s">
        <v>206</v>
      </c>
      <c r="C213" s="190" t="s">
        <v>143</v>
      </c>
      <c r="D213" s="193">
        <f>1.65*D186</f>
        <v>1.65</v>
      </c>
      <c r="E213" s="229"/>
      <c r="F213" s="229"/>
      <c r="G213" s="229"/>
      <c r="H213" s="231"/>
      <c r="I213" s="231"/>
      <c r="J213" s="123"/>
    </row>
    <row r="214" spans="1:10" s="116" customFormat="1" ht="16.5">
      <c r="A214" s="178"/>
      <c r="B214" s="193" t="s">
        <v>208</v>
      </c>
      <c r="C214" s="190" t="s">
        <v>111</v>
      </c>
      <c r="D214" s="192">
        <f>D186</f>
        <v>1</v>
      </c>
      <c r="E214" s="229"/>
      <c r="F214" s="229"/>
      <c r="G214" s="229"/>
      <c r="H214" s="231"/>
      <c r="I214" s="231"/>
      <c r="J214" s="123"/>
    </row>
    <row r="215" spans="1:10" s="116" customFormat="1" ht="16.5">
      <c r="A215" s="178"/>
      <c r="B215" s="193" t="s">
        <v>209</v>
      </c>
      <c r="C215" s="190" t="s">
        <v>92</v>
      </c>
      <c r="D215" s="192">
        <f>0.1*D186</f>
        <v>0.1</v>
      </c>
      <c r="E215" s="229"/>
      <c r="F215" s="229"/>
      <c r="G215" s="229"/>
      <c r="H215" s="231"/>
      <c r="I215" s="231"/>
      <c r="J215" s="123"/>
    </row>
    <row r="216" spans="1:10" s="116" customFormat="1" ht="24">
      <c r="A216" s="178"/>
      <c r="B216" s="189" t="s">
        <v>210</v>
      </c>
      <c r="C216" s="190" t="s">
        <v>92</v>
      </c>
      <c r="D216" s="192">
        <f>D215</f>
        <v>0.1</v>
      </c>
      <c r="E216" s="229"/>
      <c r="F216" s="229"/>
      <c r="G216" s="229"/>
      <c r="H216" s="231"/>
      <c r="I216" s="231"/>
      <c r="J216" s="123"/>
    </row>
    <row r="217" spans="1:10" s="116" customFormat="1" ht="16.5">
      <c r="A217" s="178"/>
      <c r="B217" s="193" t="s">
        <v>270</v>
      </c>
      <c r="C217" s="190" t="s">
        <v>143</v>
      </c>
      <c r="D217" s="193">
        <f>1*D186</f>
        <v>1</v>
      </c>
      <c r="E217" s="229"/>
      <c r="F217" s="229"/>
      <c r="G217" s="229"/>
      <c r="H217" s="231"/>
      <c r="I217" s="231"/>
      <c r="J217" s="123"/>
    </row>
    <row r="218" spans="1:10" s="116" customFormat="1" ht="24">
      <c r="A218" s="178"/>
      <c r="B218" s="189" t="s">
        <v>271</v>
      </c>
      <c r="C218" s="190" t="s">
        <v>111</v>
      </c>
      <c r="D218" s="193">
        <f>D186</f>
        <v>1</v>
      </c>
      <c r="E218" s="229"/>
      <c r="F218" s="229"/>
      <c r="G218" s="229"/>
      <c r="H218" s="231"/>
      <c r="I218" s="231"/>
      <c r="J218" s="123"/>
    </row>
    <row r="219" spans="1:10" s="116" customFormat="1" ht="16.5">
      <c r="A219" s="178"/>
      <c r="B219" s="193" t="s">
        <v>272</v>
      </c>
      <c r="C219" s="190" t="s">
        <v>92</v>
      </c>
      <c r="D219" s="193">
        <f>0.1*D217</f>
        <v>0.1</v>
      </c>
      <c r="E219" s="229"/>
      <c r="F219" s="229"/>
      <c r="G219" s="229"/>
      <c r="H219" s="231"/>
      <c r="I219" s="231"/>
      <c r="J219" s="123"/>
    </row>
    <row r="220" spans="1:10" s="116" customFormat="1" ht="16.5">
      <c r="A220" s="178"/>
      <c r="B220" s="193" t="s">
        <v>273</v>
      </c>
      <c r="C220" s="190"/>
      <c r="D220" s="193"/>
      <c r="E220" s="229"/>
      <c r="F220" s="229"/>
      <c r="G220" s="229"/>
      <c r="H220" s="231"/>
      <c r="I220" s="231"/>
      <c r="J220" s="123"/>
    </row>
    <row r="221" spans="1:10" s="116" customFormat="1" ht="24">
      <c r="A221" s="178"/>
      <c r="B221" s="189" t="s">
        <v>274</v>
      </c>
      <c r="C221" s="190" t="s">
        <v>143</v>
      </c>
      <c r="D221" s="193">
        <f>1.5*D186</f>
        <v>1.5</v>
      </c>
      <c r="E221" s="229"/>
      <c r="F221" s="229"/>
      <c r="G221" s="229"/>
      <c r="H221" s="231"/>
      <c r="I221" s="231"/>
      <c r="J221" s="123"/>
    </row>
    <row r="222" spans="1:10" s="116" customFormat="1" ht="16.5">
      <c r="A222" s="178"/>
      <c r="B222" s="193" t="s">
        <v>275</v>
      </c>
      <c r="C222" s="190" t="s">
        <v>143</v>
      </c>
      <c r="D222" s="193">
        <f>D221</f>
        <v>1.5</v>
      </c>
      <c r="E222" s="229"/>
      <c r="F222" s="229"/>
      <c r="G222" s="229"/>
      <c r="H222" s="231"/>
      <c r="I222" s="231"/>
      <c r="J222" s="123"/>
    </row>
    <row r="223" spans="1:10" s="116" customFormat="1" ht="16.5">
      <c r="A223" s="178"/>
      <c r="B223" s="193" t="s">
        <v>159</v>
      </c>
      <c r="C223" s="190" t="s">
        <v>92</v>
      </c>
      <c r="D223" s="193">
        <f>1.5*0.1*1.1*D186</f>
        <v>0.16500000000000004</v>
      </c>
      <c r="E223" s="229"/>
      <c r="F223" s="229"/>
      <c r="G223" s="229"/>
      <c r="H223" s="231"/>
      <c r="I223" s="231"/>
      <c r="J223" s="123"/>
    </row>
    <row r="224" spans="1:10" s="116" customFormat="1" ht="16.5">
      <c r="A224" s="178"/>
      <c r="B224" s="193" t="s">
        <v>160</v>
      </c>
      <c r="C224" s="190" t="s">
        <v>143</v>
      </c>
      <c r="D224" s="193">
        <f>D221</f>
        <v>1.5</v>
      </c>
      <c r="E224" s="229"/>
      <c r="F224" s="229"/>
      <c r="G224" s="229"/>
      <c r="H224" s="231"/>
      <c r="I224" s="231"/>
      <c r="J224" s="123"/>
    </row>
    <row r="225" spans="1:10" s="116" customFormat="1" ht="16.5">
      <c r="A225" s="178"/>
      <c r="B225" s="193" t="s">
        <v>161</v>
      </c>
      <c r="C225" s="190" t="s">
        <v>162</v>
      </c>
      <c r="D225" s="193">
        <f>0.025*D224</f>
        <v>0.037500000000000006</v>
      </c>
      <c r="E225" s="229"/>
      <c r="F225" s="229"/>
      <c r="G225" s="229"/>
      <c r="H225" s="231"/>
      <c r="I225" s="231"/>
      <c r="J225" s="123"/>
    </row>
    <row r="226" spans="1:10" s="116" customFormat="1" ht="16.5">
      <c r="A226" s="178"/>
      <c r="B226" s="193" t="s">
        <v>163</v>
      </c>
      <c r="C226" s="190" t="s">
        <v>143</v>
      </c>
      <c r="D226" s="193">
        <f>D221*2</f>
        <v>3</v>
      </c>
      <c r="E226" s="229"/>
      <c r="F226" s="229"/>
      <c r="G226" s="229"/>
      <c r="H226" s="231"/>
      <c r="I226" s="231"/>
      <c r="J226" s="123"/>
    </row>
    <row r="227" spans="1:10" s="116" customFormat="1" ht="16.5">
      <c r="A227" s="178"/>
      <c r="B227" s="193" t="s">
        <v>276</v>
      </c>
      <c r="C227" s="190" t="s">
        <v>92</v>
      </c>
      <c r="D227" s="193">
        <f>0.01*D221</f>
        <v>0.015</v>
      </c>
      <c r="E227" s="229"/>
      <c r="F227" s="229"/>
      <c r="G227" s="229"/>
      <c r="H227" s="231"/>
      <c r="I227" s="231"/>
      <c r="J227" s="123"/>
    </row>
    <row r="228" spans="1:10" s="116" customFormat="1" ht="16.5">
      <c r="A228" s="179"/>
      <c r="B228" s="193" t="s">
        <v>127</v>
      </c>
      <c r="C228" s="190" t="s">
        <v>128</v>
      </c>
      <c r="D228" s="194">
        <f>I228</f>
        <v>0</v>
      </c>
      <c r="E228" s="229"/>
      <c r="F228" s="229"/>
      <c r="G228" s="229"/>
      <c r="H228" s="231"/>
      <c r="I228" s="231"/>
      <c r="J228" s="123"/>
    </row>
    <row r="229" spans="1:10" s="116" customFormat="1" ht="16.5">
      <c r="A229" s="122"/>
      <c r="B229" s="193"/>
      <c r="C229" s="190"/>
      <c r="D229" s="194"/>
      <c r="E229" s="229"/>
      <c r="F229" s="235"/>
      <c r="G229" s="235"/>
      <c r="H229" s="231"/>
      <c r="I229" s="231"/>
      <c r="J229" s="123"/>
    </row>
    <row r="230" spans="1:10" s="116" customFormat="1" ht="16.5">
      <c r="A230" s="122"/>
      <c r="B230" s="195" t="s">
        <v>108</v>
      </c>
      <c r="C230" s="190"/>
      <c r="D230" s="193"/>
      <c r="E230" s="229"/>
      <c r="F230" s="235"/>
      <c r="G230" s="236"/>
      <c r="H230" s="231"/>
      <c r="I230" s="231"/>
      <c r="J230" s="123"/>
    </row>
    <row r="231" spans="1:10" s="116" customFormat="1" ht="16.5">
      <c r="A231" s="122"/>
      <c r="B231" s="195"/>
      <c r="C231" s="190"/>
      <c r="D231" s="193"/>
      <c r="E231" s="229"/>
      <c r="F231" s="235"/>
      <c r="G231" s="236"/>
      <c r="H231" s="231"/>
      <c r="I231" s="231"/>
      <c r="J231" s="123"/>
    </row>
    <row r="232" spans="1:10" s="116" customFormat="1" ht="25.5">
      <c r="A232" s="175">
        <v>8</v>
      </c>
      <c r="B232" s="196" t="s">
        <v>11</v>
      </c>
      <c r="C232" s="190">
        <f>D91</f>
        <v>36</v>
      </c>
      <c r="D232" s="193"/>
      <c r="E232" s="229"/>
      <c r="F232" s="235"/>
      <c r="G232" s="236"/>
      <c r="H232" s="231"/>
      <c r="I232" s="231"/>
      <c r="J232" s="123"/>
    </row>
    <row r="233" spans="1:10" s="116" customFormat="1" ht="16.5">
      <c r="A233" s="178"/>
      <c r="B233" s="202" t="s">
        <v>277</v>
      </c>
      <c r="C233" s="205" t="s">
        <v>92</v>
      </c>
      <c r="D233" s="191">
        <v>270</v>
      </c>
      <c r="E233" s="234"/>
      <c r="F233" s="252"/>
      <c r="G233" s="234"/>
      <c r="H233" s="231"/>
      <c r="I233" s="231"/>
      <c r="J233" s="123"/>
    </row>
    <row r="234" spans="1:10" s="116" customFormat="1" ht="24">
      <c r="A234" s="178"/>
      <c r="B234" s="189" t="s">
        <v>210</v>
      </c>
      <c r="C234" s="190" t="s">
        <v>92</v>
      </c>
      <c r="D234" s="192">
        <f>C232</f>
        <v>36</v>
      </c>
      <c r="E234" s="229"/>
      <c r="F234" s="229"/>
      <c r="G234" s="229"/>
      <c r="H234" s="231"/>
      <c r="I234" s="231"/>
      <c r="J234" s="123"/>
    </row>
    <row r="235" spans="1:10" s="116" customFormat="1" ht="24">
      <c r="A235" s="178"/>
      <c r="B235" s="202" t="s">
        <v>278</v>
      </c>
      <c r="C235" s="205" t="s">
        <v>111</v>
      </c>
      <c r="D235" s="191">
        <f>6*5*C232</f>
        <v>1080</v>
      </c>
      <c r="E235" s="234"/>
      <c r="F235" s="252"/>
      <c r="G235" s="234"/>
      <c r="H235" s="231"/>
      <c r="I235" s="231"/>
      <c r="J235" s="123"/>
    </row>
    <row r="236" spans="1:10" s="116" customFormat="1" ht="16.5">
      <c r="A236" s="178"/>
      <c r="B236" s="202" t="s">
        <v>279</v>
      </c>
      <c r="C236" s="205" t="s">
        <v>111</v>
      </c>
      <c r="D236" s="191">
        <f>2*5*C232</f>
        <v>360</v>
      </c>
      <c r="E236" s="234"/>
      <c r="F236" s="252"/>
      <c r="G236" s="234"/>
      <c r="H236" s="231"/>
      <c r="I236" s="231"/>
      <c r="J236" s="123"/>
    </row>
    <row r="237" spans="1:10" s="116" customFormat="1" ht="24">
      <c r="A237" s="178"/>
      <c r="B237" s="202" t="s">
        <v>280</v>
      </c>
      <c r="C237" s="205" t="s">
        <v>111</v>
      </c>
      <c r="D237" s="191">
        <f>4*1*C232</f>
        <v>144</v>
      </c>
      <c r="E237" s="234"/>
      <c r="F237" s="234"/>
      <c r="G237" s="234"/>
      <c r="H237" s="231"/>
      <c r="I237" s="231"/>
      <c r="J237" s="123"/>
    </row>
    <row r="238" spans="1:10" s="116" customFormat="1" ht="24">
      <c r="A238" s="178"/>
      <c r="B238" s="215" t="s">
        <v>281</v>
      </c>
      <c r="C238" s="205" t="s">
        <v>111</v>
      </c>
      <c r="D238" s="191">
        <f>12*5*C232</f>
        <v>2160</v>
      </c>
      <c r="E238" s="234"/>
      <c r="F238" s="252"/>
      <c r="G238" s="234"/>
      <c r="H238" s="231"/>
      <c r="I238" s="231"/>
      <c r="J238" s="123"/>
    </row>
    <row r="239" spans="1:10" s="116" customFormat="1" ht="35.25">
      <c r="A239" s="178"/>
      <c r="B239" s="202" t="s">
        <v>282</v>
      </c>
      <c r="C239" s="205" t="s">
        <v>111</v>
      </c>
      <c r="D239" s="191">
        <f>1*5*C232</f>
        <v>180</v>
      </c>
      <c r="E239" s="234"/>
      <c r="F239" s="252"/>
      <c r="G239" s="234"/>
      <c r="H239" s="231"/>
      <c r="I239" s="231"/>
      <c r="J239" s="123"/>
    </row>
    <row r="240" spans="1:10" s="116" customFormat="1" ht="16.5">
      <c r="A240" s="178"/>
      <c r="B240" s="202" t="s">
        <v>283</v>
      </c>
      <c r="C240" s="205" t="s">
        <v>111</v>
      </c>
      <c r="D240" s="191">
        <f>C232</f>
        <v>36</v>
      </c>
      <c r="E240" s="234"/>
      <c r="F240" s="252"/>
      <c r="G240" s="234"/>
      <c r="H240" s="231"/>
      <c r="I240" s="231"/>
      <c r="J240" s="123"/>
    </row>
    <row r="241" spans="1:10" s="116" customFormat="1" ht="35.25">
      <c r="A241" s="178"/>
      <c r="B241" s="202" t="s">
        <v>284</v>
      </c>
      <c r="C241" s="205" t="s">
        <v>111</v>
      </c>
      <c r="D241" s="191">
        <f>7*1*C232</f>
        <v>252</v>
      </c>
      <c r="E241" s="234"/>
      <c r="F241" s="252"/>
      <c r="G241" s="234"/>
      <c r="H241" s="231"/>
      <c r="I241" s="231"/>
      <c r="J241" s="123"/>
    </row>
    <row r="242" spans="1:10" s="116" customFormat="1" ht="15" customHeight="1">
      <c r="A242" s="178"/>
      <c r="B242" s="202" t="s">
        <v>285</v>
      </c>
      <c r="C242" s="205" t="s">
        <v>111</v>
      </c>
      <c r="D242" s="191">
        <f>4*C232</f>
        <v>144</v>
      </c>
      <c r="E242" s="234"/>
      <c r="F242" s="252"/>
      <c r="G242" s="234"/>
      <c r="H242" s="231"/>
      <c r="I242" s="231"/>
      <c r="J242" s="123"/>
    </row>
    <row r="243" spans="1:10" s="116" customFormat="1" ht="24">
      <c r="A243" s="178"/>
      <c r="B243" s="202" t="s">
        <v>286</v>
      </c>
      <c r="C243" s="205" t="s">
        <v>111</v>
      </c>
      <c r="D243" s="191">
        <f>C232</f>
        <v>36</v>
      </c>
      <c r="E243" s="234"/>
      <c r="F243" s="252"/>
      <c r="G243" s="234"/>
      <c r="H243" s="231"/>
      <c r="I243" s="231"/>
      <c r="J243" s="123"/>
    </row>
    <row r="244" spans="1:10" s="116" customFormat="1" ht="16.5">
      <c r="A244" s="178"/>
      <c r="B244" s="202" t="s">
        <v>287</v>
      </c>
      <c r="C244" s="205" t="s">
        <v>111</v>
      </c>
      <c r="D244" s="191">
        <f>C232</f>
        <v>36</v>
      </c>
      <c r="E244" s="234"/>
      <c r="F244" s="252"/>
      <c r="G244" s="253"/>
      <c r="H244" s="231"/>
      <c r="I244" s="231"/>
      <c r="J244" s="123"/>
    </row>
    <row r="245" spans="1:10" s="116" customFormat="1" ht="35.25">
      <c r="A245" s="178"/>
      <c r="B245" s="202" t="s">
        <v>288</v>
      </c>
      <c r="C245" s="205" t="s">
        <v>111</v>
      </c>
      <c r="D245" s="191">
        <f>1*5*C232</f>
        <v>180</v>
      </c>
      <c r="E245" s="254"/>
      <c r="F245" s="254"/>
      <c r="G245" s="253"/>
      <c r="H245" s="231"/>
      <c r="I245" s="231"/>
      <c r="J245" s="123"/>
    </row>
    <row r="246" spans="1:10" s="116" customFormat="1" ht="16.5">
      <c r="A246" s="178"/>
      <c r="B246" s="202" t="s">
        <v>289</v>
      </c>
      <c r="C246" s="205" t="s">
        <v>111</v>
      </c>
      <c r="D246" s="191">
        <f>C232</f>
        <v>36</v>
      </c>
      <c r="E246" s="254"/>
      <c r="F246" s="254"/>
      <c r="G246" s="253"/>
      <c r="H246" s="231"/>
      <c r="I246" s="231"/>
      <c r="J246" s="123"/>
    </row>
    <row r="247" spans="1:10" s="116" customFormat="1" ht="46.5">
      <c r="A247" s="179"/>
      <c r="B247" s="202" t="s">
        <v>290</v>
      </c>
      <c r="C247" s="205" t="s">
        <v>111</v>
      </c>
      <c r="D247" s="191">
        <f>C232</f>
        <v>36</v>
      </c>
      <c r="E247" s="234"/>
      <c r="F247" s="252"/>
      <c r="G247" s="234"/>
      <c r="H247" s="231"/>
      <c r="I247" s="231"/>
      <c r="J247" s="123"/>
    </row>
    <row r="248" spans="1:10" s="116" customFormat="1" ht="16.5">
      <c r="A248" s="122"/>
      <c r="B248" s="195" t="s">
        <v>291</v>
      </c>
      <c r="C248" s="190"/>
      <c r="D248" s="193"/>
      <c r="E248" s="229"/>
      <c r="F248" s="235"/>
      <c r="G248" s="236"/>
      <c r="H248" s="231"/>
      <c r="I248" s="231"/>
      <c r="J248" s="123"/>
    </row>
    <row r="249" spans="1:10" s="116" customFormat="1" ht="16.5">
      <c r="A249" s="122"/>
      <c r="B249" s="209"/>
      <c r="C249" s="190"/>
      <c r="D249" s="193"/>
      <c r="E249" s="229"/>
      <c r="F249" s="235"/>
      <c r="G249" s="236"/>
      <c r="H249" s="231"/>
      <c r="I249" s="231"/>
      <c r="J249" s="123"/>
    </row>
    <row r="250" spans="1:10" s="116" customFormat="1" ht="16.5">
      <c r="A250" s="122"/>
      <c r="B250" s="209"/>
      <c r="C250" s="190"/>
      <c r="D250" s="193"/>
      <c r="E250" s="229"/>
      <c r="F250" s="235"/>
      <c r="G250" s="236"/>
      <c r="H250" s="231"/>
      <c r="I250" s="231"/>
      <c r="J250" s="123"/>
    </row>
    <row r="251" spans="1:10" s="116" customFormat="1" ht="16.5">
      <c r="A251" s="122"/>
      <c r="B251" s="195"/>
      <c r="C251" s="190"/>
      <c r="D251" s="193"/>
      <c r="E251" s="229"/>
      <c r="F251" s="229"/>
      <c r="G251" s="229"/>
      <c r="H251" s="231"/>
      <c r="I251" s="231"/>
      <c r="J251" s="123"/>
    </row>
    <row r="252" spans="1:10" s="116" customFormat="1" ht="25.5">
      <c r="A252" s="175">
        <v>9</v>
      </c>
      <c r="B252" s="196" t="s">
        <v>12</v>
      </c>
      <c r="C252" s="190"/>
      <c r="D252" s="193">
        <v>1</v>
      </c>
      <c r="E252" s="255"/>
      <c r="F252" s="255"/>
      <c r="G252" s="255"/>
      <c r="H252" s="231"/>
      <c r="I252" s="231"/>
      <c r="J252" s="123"/>
    </row>
    <row r="253" spans="1:10" s="116" customFormat="1" ht="16.5">
      <c r="A253" s="178"/>
      <c r="B253" s="202" t="s">
        <v>277</v>
      </c>
      <c r="C253" s="205" t="s">
        <v>92</v>
      </c>
      <c r="D253" s="191">
        <v>7.5</v>
      </c>
      <c r="E253" s="234"/>
      <c r="F253" s="252"/>
      <c r="G253" s="234"/>
      <c r="H253" s="231"/>
      <c r="I253" s="231"/>
      <c r="J253" s="123"/>
    </row>
    <row r="254" spans="1:10" s="116" customFormat="1" ht="24">
      <c r="A254" s="178"/>
      <c r="B254" s="189" t="s">
        <v>210</v>
      </c>
      <c r="C254" s="190" t="s">
        <v>92</v>
      </c>
      <c r="D254" s="192">
        <f>D252</f>
        <v>1</v>
      </c>
      <c r="E254" s="229"/>
      <c r="F254" s="229"/>
      <c r="G254" s="229"/>
      <c r="H254" s="231"/>
      <c r="I254" s="231"/>
      <c r="J254" s="123"/>
    </row>
    <row r="255" spans="1:10" s="116" customFormat="1" ht="24">
      <c r="A255" s="178"/>
      <c r="B255" s="202" t="s">
        <v>292</v>
      </c>
      <c r="C255" s="205" t="s">
        <v>111</v>
      </c>
      <c r="D255" s="191">
        <f>2*5*D252</f>
        <v>10</v>
      </c>
      <c r="E255" s="254"/>
      <c r="F255" s="254"/>
      <c r="G255" s="253"/>
      <c r="H255" s="231"/>
      <c r="I255" s="231"/>
      <c r="J255" s="123"/>
    </row>
    <row r="256" spans="1:10" s="116" customFormat="1" ht="16.5">
      <c r="A256" s="178"/>
      <c r="B256" s="202" t="s">
        <v>293</v>
      </c>
      <c r="C256" s="205" t="s">
        <v>111</v>
      </c>
      <c r="D256" s="191">
        <f>2*5*D252</f>
        <v>10</v>
      </c>
      <c r="E256" s="254"/>
      <c r="F256" s="254"/>
      <c r="G256" s="253"/>
      <c r="H256" s="231"/>
      <c r="I256" s="231"/>
      <c r="J256" s="123"/>
    </row>
    <row r="257" spans="1:10" s="116" customFormat="1" ht="24">
      <c r="A257" s="178"/>
      <c r="B257" s="202" t="s">
        <v>294</v>
      </c>
      <c r="C257" s="205" t="s">
        <v>111</v>
      </c>
      <c r="D257" s="191">
        <f>4*1*D252</f>
        <v>4</v>
      </c>
      <c r="E257" s="254"/>
      <c r="F257" s="254"/>
      <c r="G257" s="253"/>
      <c r="H257" s="231"/>
      <c r="I257" s="231"/>
      <c r="J257" s="123"/>
    </row>
    <row r="258" spans="1:10" s="116" customFormat="1" ht="24">
      <c r="A258" s="178"/>
      <c r="B258" s="215" t="s">
        <v>295</v>
      </c>
      <c r="C258" s="205" t="s">
        <v>111</v>
      </c>
      <c r="D258" s="191">
        <f>12*5*D252</f>
        <v>60</v>
      </c>
      <c r="E258" s="234"/>
      <c r="F258" s="252"/>
      <c r="G258" s="234"/>
      <c r="H258" s="231"/>
      <c r="I258" s="231"/>
      <c r="J258" s="123"/>
    </row>
    <row r="259" spans="1:10" s="116" customFormat="1" ht="35.25">
      <c r="A259" s="178"/>
      <c r="B259" s="202" t="s">
        <v>296</v>
      </c>
      <c r="C259" s="205" t="s">
        <v>111</v>
      </c>
      <c r="D259" s="218">
        <f>1*D252</f>
        <v>1</v>
      </c>
      <c r="E259" s="254"/>
      <c r="F259" s="254"/>
      <c r="G259" s="253"/>
      <c r="H259" s="231"/>
      <c r="I259" s="231"/>
      <c r="J259" s="123"/>
    </row>
    <row r="260" spans="1:10" s="116" customFormat="1" ht="16.5">
      <c r="A260" s="178"/>
      <c r="B260" s="202" t="s">
        <v>297</v>
      </c>
      <c r="C260" s="205" t="s">
        <v>111</v>
      </c>
      <c r="D260" s="191">
        <f>D252</f>
        <v>1</v>
      </c>
      <c r="E260" s="254"/>
      <c r="F260" s="254"/>
      <c r="G260" s="253"/>
      <c r="H260" s="231"/>
      <c r="I260" s="231"/>
      <c r="J260" s="123"/>
    </row>
    <row r="261" spans="1:10" s="116" customFormat="1" ht="35.25">
      <c r="A261" s="178"/>
      <c r="B261" s="202" t="s">
        <v>298</v>
      </c>
      <c r="C261" s="205" t="s">
        <v>111</v>
      </c>
      <c r="D261" s="191">
        <f>7*D252</f>
        <v>7</v>
      </c>
      <c r="E261" s="254"/>
      <c r="F261" s="254"/>
      <c r="G261" s="253"/>
      <c r="H261" s="231"/>
      <c r="I261" s="231"/>
      <c r="J261" s="123"/>
    </row>
    <row r="262" spans="1:10" s="116" customFormat="1" ht="24">
      <c r="A262" s="178"/>
      <c r="B262" s="202" t="s">
        <v>299</v>
      </c>
      <c r="C262" s="205" t="s">
        <v>111</v>
      </c>
      <c r="D262" s="191">
        <f>4*1*D252</f>
        <v>4</v>
      </c>
      <c r="E262" s="254"/>
      <c r="F262" s="254"/>
      <c r="G262" s="253"/>
      <c r="H262" s="231"/>
      <c r="I262" s="231"/>
      <c r="J262" s="123"/>
    </row>
    <row r="263" spans="1:10" s="116" customFormat="1" ht="24">
      <c r="A263" s="178"/>
      <c r="B263" s="202" t="s">
        <v>300</v>
      </c>
      <c r="C263" s="205" t="s">
        <v>111</v>
      </c>
      <c r="D263" s="191">
        <f>4*D252</f>
        <v>4</v>
      </c>
      <c r="E263" s="254"/>
      <c r="F263" s="254"/>
      <c r="G263" s="253"/>
      <c r="H263" s="231"/>
      <c r="I263" s="231"/>
      <c r="J263" s="123"/>
    </row>
    <row r="264" spans="1:10" s="116" customFormat="1" ht="16.5">
      <c r="A264" s="178"/>
      <c r="B264" s="202" t="s">
        <v>287</v>
      </c>
      <c r="C264" s="205" t="s">
        <v>111</v>
      </c>
      <c r="D264" s="191">
        <f>D252</f>
        <v>1</v>
      </c>
      <c r="E264" s="234"/>
      <c r="F264" s="252"/>
      <c r="G264" s="253"/>
      <c r="H264" s="231"/>
      <c r="I264" s="231"/>
      <c r="J264" s="123"/>
    </row>
    <row r="265" spans="1:10" s="116" customFormat="1" ht="35.25">
      <c r="A265" s="178"/>
      <c r="B265" s="202" t="s">
        <v>288</v>
      </c>
      <c r="C265" s="205" t="s">
        <v>111</v>
      </c>
      <c r="D265" s="191">
        <f>1*5*D252</f>
        <v>5</v>
      </c>
      <c r="E265" s="254"/>
      <c r="F265" s="254"/>
      <c r="G265" s="253"/>
      <c r="H265" s="231"/>
      <c r="I265" s="231"/>
      <c r="J265" s="123"/>
    </row>
    <row r="266" spans="1:10" s="116" customFormat="1" ht="16.5">
      <c r="A266" s="178"/>
      <c r="B266" s="202" t="s">
        <v>289</v>
      </c>
      <c r="C266" s="205" t="s">
        <v>111</v>
      </c>
      <c r="D266" s="191">
        <f>D252</f>
        <v>1</v>
      </c>
      <c r="E266" s="254"/>
      <c r="F266" s="254"/>
      <c r="G266" s="253"/>
      <c r="H266" s="231"/>
      <c r="I266" s="231"/>
      <c r="J266" s="123"/>
    </row>
    <row r="267" spans="1:10" s="116" customFormat="1" ht="24">
      <c r="A267" s="178"/>
      <c r="B267" s="202" t="s">
        <v>301</v>
      </c>
      <c r="C267" s="205" t="s">
        <v>111</v>
      </c>
      <c r="D267" s="218">
        <f>5*D252/3</f>
        <v>1.6666666666666667</v>
      </c>
      <c r="E267" s="254"/>
      <c r="F267" s="254"/>
      <c r="G267" s="253"/>
      <c r="H267" s="231"/>
      <c r="I267" s="231"/>
      <c r="J267" s="123"/>
    </row>
    <row r="268" spans="1:10" s="116" customFormat="1" ht="16.5">
      <c r="A268" s="179"/>
      <c r="B268" s="202" t="s">
        <v>302</v>
      </c>
      <c r="C268" s="205" t="s">
        <v>111</v>
      </c>
      <c r="D268" s="191">
        <f>D252</f>
        <v>1</v>
      </c>
      <c r="E268" s="254"/>
      <c r="F268" s="254"/>
      <c r="G268" s="253"/>
      <c r="H268" s="231"/>
      <c r="I268" s="231"/>
      <c r="J268" s="123"/>
    </row>
    <row r="269" spans="1:10" s="116" customFormat="1" ht="16.5">
      <c r="A269" s="122"/>
      <c r="B269" s="195" t="s">
        <v>291</v>
      </c>
      <c r="C269" s="190"/>
      <c r="D269" s="193"/>
      <c r="E269" s="229"/>
      <c r="F269" s="235"/>
      <c r="G269" s="236"/>
      <c r="H269" s="231"/>
      <c r="I269" s="231"/>
      <c r="J269" s="123"/>
    </row>
    <row r="270" spans="1:35" s="116" customFormat="1" ht="16.5">
      <c r="A270" s="121"/>
      <c r="B270" s="117"/>
      <c r="C270" s="118"/>
      <c r="D270" s="117"/>
      <c r="E270" s="119"/>
      <c r="F270" s="119"/>
      <c r="G270" s="117"/>
      <c r="H270" s="120"/>
      <c r="I270" s="120"/>
      <c r="J270" s="123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</row>
    <row r="271" spans="1:35" s="116" customFormat="1" ht="16.5">
      <c r="A271" s="127"/>
      <c r="B271" s="29"/>
      <c r="C271" s="128"/>
      <c r="D271" s="11"/>
      <c r="E271" s="129"/>
      <c r="F271" s="130"/>
      <c r="G271" s="129"/>
      <c r="H271" s="131"/>
      <c r="I271" s="131"/>
      <c r="J271" s="123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</row>
    <row r="272" spans="1:10" s="116" customFormat="1" ht="16.5">
      <c r="A272" s="127"/>
      <c r="B272" s="11"/>
      <c r="C272" s="128"/>
      <c r="D272" s="11"/>
      <c r="E272" s="129"/>
      <c r="F272" s="130"/>
      <c r="G272" s="129"/>
      <c r="H272" s="131"/>
      <c r="I272" s="131"/>
      <c r="J272" s="123"/>
    </row>
    <row r="273" spans="1:10" s="116" customFormat="1" ht="16.5">
      <c r="A273" s="127"/>
      <c r="B273" s="11"/>
      <c r="C273" s="128"/>
      <c r="D273" s="11"/>
      <c r="E273" s="129"/>
      <c r="F273" s="130"/>
      <c r="G273" s="129"/>
      <c r="H273" s="131"/>
      <c r="I273" s="131"/>
      <c r="J273" s="123"/>
    </row>
    <row r="274" spans="1:10" s="116" customFormat="1" ht="16.5">
      <c r="A274" s="127"/>
      <c r="B274" s="11"/>
      <c r="C274" s="128"/>
      <c r="D274" s="11"/>
      <c r="E274" s="129"/>
      <c r="F274" s="129"/>
      <c r="G274" s="129"/>
      <c r="H274" s="131"/>
      <c r="I274" s="131"/>
      <c r="J274" s="123"/>
    </row>
    <row r="275" spans="1:10" s="116" customFormat="1" ht="16.5">
      <c r="A275" s="127"/>
      <c r="B275" s="11"/>
      <c r="C275" s="128"/>
      <c r="D275" s="11"/>
      <c r="E275" s="129"/>
      <c r="F275" s="129"/>
      <c r="G275" s="129"/>
      <c r="H275" s="131"/>
      <c r="I275" s="131"/>
      <c r="J275" s="123"/>
    </row>
    <row r="276" spans="1:10" s="116" customFormat="1" ht="16.5">
      <c r="A276" s="127"/>
      <c r="B276" s="11"/>
      <c r="C276" s="128"/>
      <c r="D276" s="11"/>
      <c r="E276" s="129"/>
      <c r="F276" s="129"/>
      <c r="G276" s="129"/>
      <c r="H276" s="131"/>
      <c r="I276" s="131"/>
      <c r="J276" s="123"/>
    </row>
    <row r="277" spans="1:10" s="125" customFormat="1" ht="16.5">
      <c r="A277" s="132"/>
      <c r="B277" s="133"/>
      <c r="C277" s="134"/>
      <c r="D277" s="135"/>
      <c r="E277" s="136"/>
      <c r="F277" s="136"/>
      <c r="G277" s="136"/>
      <c r="H277" s="131"/>
      <c r="I277" s="131"/>
      <c r="J277" s="137"/>
    </row>
    <row r="278" spans="1:10" s="116" customFormat="1" ht="16.5">
      <c r="A278" s="127"/>
      <c r="B278" s="9"/>
      <c r="C278" s="128"/>
      <c r="D278" s="11"/>
      <c r="E278" s="129"/>
      <c r="F278" s="129"/>
      <c r="G278" s="129"/>
      <c r="H278" s="131"/>
      <c r="I278" s="131"/>
      <c r="J278" s="123"/>
    </row>
    <row r="279" spans="1:10" s="116" customFormat="1" ht="16.5">
      <c r="A279" s="127"/>
      <c r="B279" s="11"/>
      <c r="C279" s="128"/>
      <c r="D279" s="131"/>
      <c r="E279" s="129"/>
      <c r="F279" s="129"/>
      <c r="G279" s="129"/>
      <c r="H279" s="131"/>
      <c r="I279" s="131"/>
      <c r="J279" s="138"/>
    </row>
    <row r="280" spans="1:10" s="116" customFormat="1" ht="16.5">
      <c r="A280" s="127"/>
      <c r="B280" s="11"/>
      <c r="C280" s="128"/>
      <c r="D280" s="11"/>
      <c r="E280" s="129"/>
      <c r="F280" s="129"/>
      <c r="G280" s="129"/>
      <c r="H280" s="131"/>
      <c r="I280" s="131"/>
      <c r="J280" s="138"/>
    </row>
    <row r="281" spans="1:10" s="116" customFormat="1" ht="16.5">
      <c r="A281" s="127"/>
      <c r="B281" s="11"/>
      <c r="C281" s="128"/>
      <c r="D281" s="11"/>
      <c r="E281" s="129"/>
      <c r="F281" s="129"/>
      <c r="G281" s="11"/>
      <c r="H281" s="131"/>
      <c r="I281" s="131"/>
      <c r="J281" s="138"/>
    </row>
    <row r="282" spans="1:10" s="116" customFormat="1" ht="16.5">
      <c r="A282" s="127"/>
      <c r="B282" s="29"/>
      <c r="C282" s="128"/>
      <c r="D282" s="11"/>
      <c r="E282" s="129"/>
      <c r="F282" s="129"/>
      <c r="G282" s="11"/>
      <c r="H282" s="131"/>
      <c r="I282" s="131"/>
      <c r="J282" s="138"/>
    </row>
    <row r="283" spans="1:10" s="116" customFormat="1" ht="16.5">
      <c r="A283" s="127"/>
      <c r="B283" s="11"/>
      <c r="C283" s="128"/>
      <c r="D283" s="11"/>
      <c r="E283" s="129"/>
      <c r="F283" s="129"/>
      <c r="G283" s="129"/>
      <c r="H283" s="131"/>
      <c r="I283" s="131"/>
      <c r="J283" s="138"/>
    </row>
    <row r="284" spans="1:10" s="147" customFormat="1" ht="16.5">
      <c r="A284" s="139"/>
      <c r="B284" s="140"/>
      <c r="C284" s="141"/>
      <c r="D284" s="142"/>
      <c r="E284" s="143"/>
      <c r="F284" s="144"/>
      <c r="G284" s="142"/>
      <c r="H284" s="145"/>
      <c r="I284" s="145"/>
      <c r="J284" s="146"/>
    </row>
    <row r="285" spans="1:10" s="116" customFormat="1" ht="16.5">
      <c r="A285" s="127"/>
      <c r="B285" s="11"/>
      <c r="C285" s="128"/>
      <c r="D285" s="11"/>
      <c r="E285" s="129"/>
      <c r="F285" s="129"/>
      <c r="G285" s="129"/>
      <c r="H285" s="131"/>
      <c r="I285" s="131"/>
      <c r="J285" s="138"/>
    </row>
    <row r="286" spans="1:10" s="116" customFormat="1" ht="16.5">
      <c r="A286" s="127"/>
      <c r="B286" s="9"/>
      <c r="C286" s="128"/>
      <c r="D286" s="11"/>
      <c r="E286" s="129"/>
      <c r="F286" s="129"/>
      <c r="G286" s="129"/>
      <c r="H286" s="131"/>
      <c r="I286" s="131"/>
      <c r="J286" s="138"/>
    </row>
    <row r="287" spans="1:10" s="147" customFormat="1" ht="16.5">
      <c r="A287" s="139"/>
      <c r="B287" s="140"/>
      <c r="C287" s="141"/>
      <c r="D287" s="142"/>
      <c r="E287" s="143"/>
      <c r="F287" s="144"/>
      <c r="G287" s="142"/>
      <c r="H287" s="145"/>
      <c r="I287" s="145"/>
      <c r="J287" s="146"/>
    </row>
    <row r="288" spans="1:10" s="116" customFormat="1" ht="16.5">
      <c r="A288" s="127"/>
      <c r="B288" s="9"/>
      <c r="C288" s="128"/>
      <c r="D288" s="11"/>
      <c r="E288" s="129"/>
      <c r="F288" s="129"/>
      <c r="G288" s="129"/>
      <c r="H288" s="131"/>
      <c r="I288" s="131"/>
      <c r="J288" s="138"/>
    </row>
    <row r="289" spans="1:10" s="147" customFormat="1" ht="16.5">
      <c r="A289" s="139"/>
      <c r="B289" s="140"/>
      <c r="C289" s="141"/>
      <c r="D289" s="142"/>
      <c r="E289" s="143"/>
      <c r="F289" s="144"/>
      <c r="G289" s="142"/>
      <c r="H289" s="145"/>
      <c r="I289" s="145"/>
      <c r="J289" s="146"/>
    </row>
    <row r="290" spans="1:10" s="116" customFormat="1" ht="16.5">
      <c r="A290" s="127"/>
      <c r="B290" s="11"/>
      <c r="C290" s="128"/>
      <c r="D290" s="11"/>
      <c r="E290" s="129"/>
      <c r="F290" s="129"/>
      <c r="G290" s="129"/>
      <c r="H290" s="131"/>
      <c r="I290" s="131"/>
      <c r="J290" s="138"/>
    </row>
    <row r="291" spans="1:10" s="147" customFormat="1" ht="16.5">
      <c r="A291" s="139"/>
      <c r="B291" s="140"/>
      <c r="C291" s="141"/>
      <c r="D291" s="142"/>
      <c r="E291" s="143"/>
      <c r="F291" s="144"/>
      <c r="G291" s="142"/>
      <c r="H291" s="145"/>
      <c r="I291" s="145"/>
      <c r="J291" s="146"/>
    </row>
    <row r="292" spans="1:10" s="116" customFormat="1" ht="16.5">
      <c r="A292" s="127"/>
      <c r="B292" s="11"/>
      <c r="C292" s="128"/>
      <c r="D292" s="11"/>
      <c r="E292" s="129"/>
      <c r="F292" s="129"/>
      <c r="G292" s="129"/>
      <c r="H292" s="131"/>
      <c r="I292" s="131"/>
      <c r="J292" s="138"/>
    </row>
    <row r="293" spans="1:10" s="116" customFormat="1" ht="16.5">
      <c r="A293" s="127"/>
      <c r="B293" s="11"/>
      <c r="C293" s="128"/>
      <c r="D293" s="11"/>
      <c r="E293" s="129"/>
      <c r="F293" s="129"/>
      <c r="G293" s="129"/>
      <c r="H293" s="131"/>
      <c r="I293" s="131"/>
      <c r="J293" s="138"/>
    </row>
    <row r="294" spans="1:10" s="116" customFormat="1" ht="16.5">
      <c r="A294" s="127"/>
      <c r="B294" s="11"/>
      <c r="C294" s="148"/>
      <c r="D294" s="149"/>
      <c r="E294" s="150"/>
      <c r="F294" s="151"/>
      <c r="G294" s="11"/>
      <c r="H294" s="131"/>
      <c r="I294" s="131"/>
      <c r="J294" s="138"/>
    </row>
    <row r="295" spans="1:10" s="116" customFormat="1" ht="16.5">
      <c r="A295" s="127"/>
      <c r="B295" s="11"/>
      <c r="C295" s="148"/>
      <c r="D295" s="149"/>
      <c r="E295" s="150"/>
      <c r="F295" s="151"/>
      <c r="G295" s="11"/>
      <c r="H295" s="131"/>
      <c r="I295" s="131"/>
      <c r="J295" s="138"/>
    </row>
    <row r="296" spans="1:10" s="116" customFormat="1" ht="16.5">
      <c r="A296" s="127"/>
      <c r="B296" s="11"/>
      <c r="C296" s="148"/>
      <c r="D296" s="149"/>
      <c r="E296" s="150"/>
      <c r="F296" s="151"/>
      <c r="G296" s="11"/>
      <c r="H296" s="131"/>
      <c r="I296" s="131"/>
      <c r="J296" s="138"/>
    </row>
    <row r="297" spans="1:10" s="116" customFormat="1" ht="16.5">
      <c r="A297" s="127"/>
      <c r="B297" s="9"/>
      <c r="C297" s="148"/>
      <c r="D297" s="149"/>
      <c r="E297" s="150"/>
      <c r="F297" s="151"/>
      <c r="G297" s="11"/>
      <c r="H297" s="131"/>
      <c r="I297" s="131"/>
      <c r="J297" s="138"/>
    </row>
    <row r="298" spans="1:10" s="116" customFormat="1" ht="16.5">
      <c r="A298" s="127"/>
      <c r="B298" s="11"/>
      <c r="C298" s="148"/>
      <c r="D298" s="149"/>
      <c r="E298" s="150"/>
      <c r="F298" s="151"/>
      <c r="G298" s="11"/>
      <c r="H298" s="131"/>
      <c r="I298" s="131"/>
      <c r="J298" s="138"/>
    </row>
    <row r="299" spans="1:10" s="116" customFormat="1" ht="16.5">
      <c r="A299" s="127"/>
      <c r="B299" s="11"/>
      <c r="C299" s="148"/>
      <c r="D299" s="149"/>
      <c r="E299" s="150"/>
      <c r="F299" s="151"/>
      <c r="G299" s="11"/>
      <c r="H299" s="131"/>
      <c r="I299" s="131"/>
      <c r="J299" s="138"/>
    </row>
    <row r="300" spans="1:10" s="116" customFormat="1" ht="16.5">
      <c r="A300" s="127"/>
      <c r="B300" s="9"/>
      <c r="C300" s="148"/>
      <c r="D300" s="152"/>
      <c r="E300" s="150"/>
      <c r="F300" s="151"/>
      <c r="G300" s="11"/>
      <c r="H300" s="131"/>
      <c r="I300" s="131"/>
      <c r="J300" s="138"/>
    </row>
    <row r="301" spans="1:10" s="116" customFormat="1" ht="16.5">
      <c r="A301" s="127"/>
      <c r="B301" s="153"/>
      <c r="C301" s="128"/>
      <c r="D301" s="154"/>
      <c r="E301" s="129"/>
      <c r="F301" s="129"/>
      <c r="G301" s="11"/>
      <c r="H301" s="131"/>
      <c r="I301" s="131"/>
      <c r="J301" s="138"/>
    </row>
    <row r="302" spans="1:10" s="116" customFormat="1" ht="16.5">
      <c r="A302" s="127"/>
      <c r="B302" s="153"/>
      <c r="C302" s="128"/>
      <c r="D302" s="154"/>
      <c r="E302" s="129"/>
      <c r="F302" s="129"/>
      <c r="G302" s="11"/>
      <c r="H302" s="131"/>
      <c r="I302" s="131"/>
      <c r="J302" s="138"/>
    </row>
    <row r="303" spans="1:10" s="116" customFormat="1" ht="16.5">
      <c r="A303" s="127"/>
      <c r="B303" s="153"/>
      <c r="C303" s="128"/>
      <c r="D303" s="154"/>
      <c r="E303" s="129"/>
      <c r="F303" s="129"/>
      <c r="G303" s="11"/>
      <c r="H303" s="131"/>
      <c r="I303" s="131"/>
      <c r="J303" s="138"/>
    </row>
    <row r="304" spans="1:10" s="116" customFormat="1" ht="16.5">
      <c r="A304" s="127"/>
      <c r="B304" s="153"/>
      <c r="C304" s="128"/>
      <c r="D304" s="154"/>
      <c r="E304" s="129"/>
      <c r="F304" s="129"/>
      <c r="G304" s="11"/>
      <c r="H304" s="131"/>
      <c r="I304" s="131"/>
      <c r="J304" s="138"/>
    </row>
    <row r="305" spans="1:10" s="116" customFormat="1" ht="16.5">
      <c r="A305" s="127"/>
      <c r="B305" s="153"/>
      <c r="C305" s="128"/>
      <c r="D305" s="154"/>
      <c r="E305" s="129"/>
      <c r="F305" s="11"/>
      <c r="G305" s="129"/>
      <c r="H305" s="131"/>
      <c r="I305" s="131"/>
      <c r="J305" s="138"/>
    </row>
    <row r="306" spans="1:10" s="116" customFormat="1" ht="16.5">
      <c r="A306" s="127"/>
      <c r="B306" s="153"/>
      <c r="C306" s="128"/>
      <c r="D306" s="154"/>
      <c r="E306" s="129"/>
      <c r="F306" s="129"/>
      <c r="G306" s="11"/>
      <c r="H306" s="131"/>
      <c r="I306" s="131"/>
      <c r="J306" s="138"/>
    </row>
    <row r="307" spans="1:10" s="116" customFormat="1" ht="16.5">
      <c r="A307" s="127"/>
      <c r="B307" s="153"/>
      <c r="C307" s="128"/>
      <c r="D307" s="154"/>
      <c r="E307" s="129"/>
      <c r="F307" s="129"/>
      <c r="G307" s="11"/>
      <c r="H307" s="131"/>
      <c r="I307" s="131"/>
      <c r="J307" s="138"/>
    </row>
    <row r="308" spans="1:10" s="116" customFormat="1" ht="16.5">
      <c r="A308" s="127"/>
      <c r="B308" s="153"/>
      <c r="C308" s="128"/>
      <c r="D308" s="154"/>
      <c r="E308" s="129"/>
      <c r="F308" s="129"/>
      <c r="G308" s="11"/>
      <c r="H308" s="131"/>
      <c r="I308" s="131"/>
      <c r="J308" s="138"/>
    </row>
    <row r="309" spans="1:10" s="116" customFormat="1" ht="16.5">
      <c r="A309" s="127"/>
      <c r="B309" s="153"/>
      <c r="C309" s="128"/>
      <c r="D309" s="154"/>
      <c r="E309" s="129"/>
      <c r="F309" s="129"/>
      <c r="G309" s="11"/>
      <c r="H309" s="131"/>
      <c r="I309" s="131"/>
      <c r="J309" s="138"/>
    </row>
    <row r="310" spans="1:10" s="116" customFormat="1" ht="16.5">
      <c r="A310" s="127"/>
      <c r="B310" s="153"/>
      <c r="C310" s="128"/>
      <c r="D310" s="154"/>
      <c r="E310" s="129"/>
      <c r="F310" s="129"/>
      <c r="G310" s="11"/>
      <c r="H310" s="131"/>
      <c r="I310" s="131"/>
      <c r="J310" s="138"/>
    </row>
    <row r="311" spans="1:10" s="116" customFormat="1" ht="16.5">
      <c r="A311" s="127"/>
      <c r="B311" s="153"/>
      <c r="C311" s="128"/>
      <c r="D311" s="154"/>
      <c r="E311" s="129"/>
      <c r="F311" s="129"/>
      <c r="G311" s="11"/>
      <c r="H311" s="131"/>
      <c r="I311" s="131"/>
      <c r="J311" s="138"/>
    </row>
    <row r="312" spans="1:10" s="116" customFormat="1" ht="16.5">
      <c r="A312" s="127"/>
      <c r="B312" s="153"/>
      <c r="C312" s="128"/>
      <c r="D312" s="155"/>
      <c r="E312" s="129"/>
      <c r="F312" s="129"/>
      <c r="G312" s="11"/>
      <c r="H312" s="131"/>
      <c r="I312" s="131"/>
      <c r="J312" s="138"/>
    </row>
    <row r="313" spans="1:10" s="116" customFormat="1" ht="16.5">
      <c r="A313" s="127"/>
      <c r="B313" s="153"/>
      <c r="C313" s="128"/>
      <c r="D313" s="154"/>
      <c r="E313" s="129"/>
      <c r="F313" s="129"/>
      <c r="G313" s="11"/>
      <c r="H313" s="131"/>
      <c r="I313" s="131"/>
      <c r="J313" s="138"/>
    </row>
    <row r="314" spans="1:10" s="116" customFormat="1" ht="16.5">
      <c r="A314" s="127"/>
      <c r="B314" s="153"/>
      <c r="C314" s="128"/>
      <c r="D314" s="154"/>
      <c r="E314" s="129"/>
      <c r="F314" s="129"/>
      <c r="G314" s="11"/>
      <c r="H314" s="131"/>
      <c r="I314" s="131"/>
      <c r="J314" s="138"/>
    </row>
    <row r="315" spans="1:10" s="116" customFormat="1" ht="16.5">
      <c r="A315" s="127"/>
      <c r="B315" s="153"/>
      <c r="C315" s="128"/>
      <c r="D315" s="154"/>
      <c r="E315" s="129"/>
      <c r="F315" s="11"/>
      <c r="G315" s="129"/>
      <c r="H315" s="131"/>
      <c r="I315" s="131"/>
      <c r="J315" s="138"/>
    </row>
    <row r="316" spans="1:10" s="116" customFormat="1" ht="16.5">
      <c r="A316" s="127"/>
      <c r="B316" s="153"/>
      <c r="C316" s="128"/>
      <c r="D316" s="154"/>
      <c r="E316" s="129"/>
      <c r="F316" s="129"/>
      <c r="G316" s="11"/>
      <c r="H316" s="131"/>
      <c r="I316" s="131"/>
      <c r="J316" s="138"/>
    </row>
    <row r="317" spans="1:10" s="116" customFormat="1" ht="16.5">
      <c r="A317" s="127"/>
      <c r="B317" s="153"/>
      <c r="C317" s="128"/>
      <c r="D317" s="155"/>
      <c r="E317" s="129"/>
      <c r="F317" s="129"/>
      <c r="G317" s="11"/>
      <c r="H317" s="131"/>
      <c r="I317" s="131"/>
      <c r="J317" s="138"/>
    </row>
    <row r="318" spans="1:10" s="116" customFormat="1" ht="16.5">
      <c r="A318" s="127"/>
      <c r="B318" s="153"/>
      <c r="C318" s="128"/>
      <c r="D318" s="155"/>
      <c r="E318" s="129"/>
      <c r="F318" s="129"/>
      <c r="G318" s="11"/>
      <c r="H318" s="131"/>
      <c r="I318" s="131"/>
      <c r="J318" s="138"/>
    </row>
    <row r="319" spans="1:10" s="116" customFormat="1" ht="16.5">
      <c r="A319" s="127"/>
      <c r="B319" s="153"/>
      <c r="C319" s="128"/>
      <c r="D319" s="155"/>
      <c r="E319" s="129"/>
      <c r="F319" s="129"/>
      <c r="G319" s="11"/>
      <c r="H319" s="131"/>
      <c r="I319" s="131"/>
      <c r="J319" s="138"/>
    </row>
    <row r="320" spans="1:10" s="116" customFormat="1" ht="16.5">
      <c r="A320" s="127"/>
      <c r="B320" s="153"/>
      <c r="C320" s="128"/>
      <c r="D320" s="155"/>
      <c r="E320" s="129"/>
      <c r="F320" s="129"/>
      <c r="G320" s="11"/>
      <c r="H320" s="131"/>
      <c r="I320" s="131"/>
      <c r="J320" s="138"/>
    </row>
    <row r="321" spans="1:10" s="116" customFormat="1" ht="16.5">
      <c r="A321" s="127"/>
      <c r="B321" s="153"/>
      <c r="C321" s="128"/>
      <c r="D321" s="155"/>
      <c r="E321" s="129"/>
      <c r="F321" s="129"/>
      <c r="G321" s="11"/>
      <c r="H321" s="131"/>
      <c r="I321" s="131"/>
      <c r="J321" s="138"/>
    </row>
    <row r="322" spans="1:10" s="116" customFormat="1" ht="16.5">
      <c r="A322" s="127"/>
      <c r="B322" s="153"/>
      <c r="C322" s="128"/>
      <c r="D322" s="155"/>
      <c r="E322" s="129"/>
      <c r="F322" s="129"/>
      <c r="G322" s="11"/>
      <c r="H322" s="131"/>
      <c r="I322" s="131"/>
      <c r="J322" s="138"/>
    </row>
    <row r="323" spans="1:10" s="116" customFormat="1" ht="16.5">
      <c r="A323" s="127"/>
      <c r="B323" s="153"/>
      <c r="C323" s="128"/>
      <c r="D323" s="155"/>
      <c r="E323" s="129"/>
      <c r="F323" s="129"/>
      <c r="G323" s="11"/>
      <c r="H323" s="131"/>
      <c r="I323" s="131"/>
      <c r="J323" s="138"/>
    </row>
    <row r="324" spans="1:10" s="116" customFormat="1" ht="16.5">
      <c r="A324" s="127"/>
      <c r="B324" s="153"/>
      <c r="C324" s="128"/>
      <c r="D324" s="155"/>
      <c r="E324" s="129"/>
      <c r="F324" s="129"/>
      <c r="G324" s="11"/>
      <c r="H324" s="131"/>
      <c r="I324" s="131"/>
      <c r="J324" s="138"/>
    </row>
    <row r="325" spans="1:10" s="116" customFormat="1" ht="16.5">
      <c r="A325" s="127"/>
      <c r="B325" s="153"/>
      <c r="C325" s="128"/>
      <c r="D325" s="156"/>
      <c r="E325" s="129"/>
      <c r="F325" s="129"/>
      <c r="G325" s="11"/>
      <c r="H325" s="131"/>
      <c r="I325" s="131"/>
      <c r="J325" s="138"/>
    </row>
    <row r="326" spans="1:10" s="116" customFormat="1" ht="16.5">
      <c r="A326" s="127"/>
      <c r="B326" s="153"/>
      <c r="C326" s="128"/>
      <c r="D326" s="156"/>
      <c r="E326" s="129"/>
      <c r="F326" s="11"/>
      <c r="G326" s="129"/>
      <c r="H326" s="131"/>
      <c r="I326" s="131"/>
      <c r="J326" s="138"/>
    </row>
    <row r="327" spans="1:10" s="116" customFormat="1" ht="16.5">
      <c r="A327" s="127"/>
      <c r="B327" s="153"/>
      <c r="C327" s="128"/>
      <c r="D327" s="156"/>
      <c r="E327" s="129"/>
      <c r="F327" s="11"/>
      <c r="G327" s="129"/>
      <c r="H327" s="131"/>
      <c r="I327" s="131"/>
      <c r="J327" s="138"/>
    </row>
    <row r="328" spans="1:10" s="116" customFormat="1" ht="16.5">
      <c r="A328" s="127"/>
      <c r="B328" s="11"/>
      <c r="C328" s="128"/>
      <c r="D328" s="157"/>
      <c r="E328" s="129"/>
      <c r="F328" s="129"/>
      <c r="G328" s="11"/>
      <c r="H328" s="131"/>
      <c r="I328" s="131"/>
      <c r="J328" s="138"/>
    </row>
    <row r="329" spans="1:10" s="116" customFormat="1" ht="16.5">
      <c r="A329" s="127"/>
      <c r="B329" s="11"/>
      <c r="C329" s="128"/>
      <c r="D329" s="157"/>
      <c r="E329" s="129"/>
      <c r="F329" s="11"/>
      <c r="G329" s="129"/>
      <c r="H329" s="131"/>
      <c r="I329" s="131"/>
      <c r="J329" s="138"/>
    </row>
    <row r="330" spans="1:10" s="116" customFormat="1" ht="16.5">
      <c r="A330" s="127"/>
      <c r="B330" s="29"/>
      <c r="C330" s="128"/>
      <c r="D330" s="11"/>
      <c r="E330" s="129"/>
      <c r="F330" s="129"/>
      <c r="G330" s="129"/>
      <c r="H330" s="131"/>
      <c r="I330" s="131"/>
      <c r="J330" s="138"/>
    </row>
    <row r="331" spans="1:9" s="160" customFormat="1" ht="12.75">
      <c r="A331" s="158"/>
      <c r="B331" s="11"/>
      <c r="C331" s="128"/>
      <c r="D331" s="11"/>
      <c r="E331" s="129"/>
      <c r="F331" s="129"/>
      <c r="G331" s="159"/>
      <c r="H331" s="131"/>
      <c r="I331" s="131"/>
    </row>
    <row r="332" spans="1:9" s="160" customFormat="1" ht="12.75">
      <c r="A332" s="158"/>
      <c r="B332" s="11"/>
      <c r="C332" s="128"/>
      <c r="D332" s="11"/>
      <c r="E332" s="129"/>
      <c r="F332" s="129"/>
      <c r="G332" s="159"/>
      <c r="H332" s="131"/>
      <c r="I332" s="131"/>
    </row>
    <row r="333" spans="1:9" s="160" customFormat="1" ht="12.75">
      <c r="A333" s="158"/>
      <c r="B333" s="11"/>
      <c r="C333" s="128"/>
      <c r="D333" s="11"/>
      <c r="E333" s="129"/>
      <c r="F333" s="129"/>
      <c r="G333" s="159"/>
      <c r="H333" s="131"/>
      <c r="I333" s="131"/>
    </row>
    <row r="334" spans="1:9" s="160" customFormat="1" ht="12.75">
      <c r="A334" s="158"/>
      <c r="B334" s="11"/>
      <c r="C334" s="128"/>
      <c r="D334" s="11"/>
      <c r="E334" s="129"/>
      <c r="F334" s="129"/>
      <c r="G334" s="159"/>
      <c r="H334" s="131"/>
      <c r="I334" s="131"/>
    </row>
    <row r="335" spans="1:9" s="160" customFormat="1" ht="12.75">
      <c r="A335" s="158"/>
      <c r="B335" s="11"/>
      <c r="C335" s="128"/>
      <c r="D335" s="11"/>
      <c r="E335" s="129"/>
      <c r="F335" s="129"/>
      <c r="G335" s="159"/>
      <c r="H335" s="131"/>
      <c r="I335" s="131"/>
    </row>
    <row r="336" spans="1:9" s="160" customFormat="1" ht="12.75">
      <c r="A336" s="158"/>
      <c r="B336" s="11"/>
      <c r="C336" s="128"/>
      <c r="D336" s="11"/>
      <c r="E336" s="129"/>
      <c r="F336" s="129"/>
      <c r="G336" s="159"/>
      <c r="H336" s="131"/>
      <c r="I336" s="131"/>
    </row>
    <row r="337" spans="1:9" s="160" customFormat="1" ht="12.75">
      <c r="A337" s="158"/>
      <c r="B337" s="11"/>
      <c r="C337" s="128"/>
      <c r="D337" s="11"/>
      <c r="E337" s="129"/>
      <c r="F337" s="129"/>
      <c r="G337" s="159"/>
      <c r="H337" s="131"/>
      <c r="I337" s="131"/>
    </row>
    <row r="338" spans="1:10" s="116" customFormat="1" ht="16.5">
      <c r="A338" s="127"/>
      <c r="B338" s="11"/>
      <c r="C338" s="128"/>
      <c r="D338" s="11"/>
      <c r="E338" s="129"/>
      <c r="F338" s="129"/>
      <c r="G338" s="129"/>
      <c r="H338" s="131"/>
      <c r="I338" s="131"/>
      <c r="J338" s="138"/>
    </row>
    <row r="339" spans="1:10" s="116" customFormat="1" ht="16.5">
      <c r="A339" s="127"/>
      <c r="B339" s="11"/>
      <c r="C339" s="128"/>
      <c r="D339" s="11"/>
      <c r="E339" s="129"/>
      <c r="F339" s="129"/>
      <c r="G339" s="129"/>
      <c r="H339" s="131"/>
      <c r="I339" s="131"/>
      <c r="J339" s="138"/>
    </row>
    <row r="340" spans="1:10" s="116" customFormat="1" ht="16.5">
      <c r="A340" s="127"/>
      <c r="B340" s="161"/>
      <c r="C340" s="128"/>
      <c r="D340" s="11"/>
      <c r="E340" s="129"/>
      <c r="F340" s="129"/>
      <c r="G340" s="129"/>
      <c r="H340" s="131"/>
      <c r="I340" s="131"/>
      <c r="J340" s="138"/>
    </row>
    <row r="341" spans="1:10" s="116" customFormat="1" ht="16.5">
      <c r="A341" s="127"/>
      <c r="B341" s="11"/>
      <c r="C341" s="128"/>
      <c r="D341" s="11"/>
      <c r="E341" s="129"/>
      <c r="F341" s="129"/>
      <c r="G341" s="129"/>
      <c r="H341" s="131"/>
      <c r="I341" s="131"/>
      <c r="J341" s="138"/>
    </row>
    <row r="342" spans="1:10" s="116" customFormat="1" ht="16.5">
      <c r="A342" s="127"/>
      <c r="B342" s="11"/>
      <c r="C342" s="128"/>
      <c r="D342" s="11"/>
      <c r="E342" s="129"/>
      <c r="F342" s="129"/>
      <c r="G342" s="129"/>
      <c r="H342" s="131"/>
      <c r="I342" s="131"/>
      <c r="J342" s="138"/>
    </row>
    <row r="343" spans="1:10" s="116" customFormat="1" ht="16.5">
      <c r="A343" s="127"/>
      <c r="B343" s="11"/>
      <c r="C343" s="128"/>
      <c r="D343" s="11"/>
      <c r="E343" s="129"/>
      <c r="F343" s="129"/>
      <c r="G343" s="129"/>
      <c r="H343" s="131"/>
      <c r="I343" s="131"/>
      <c r="J343" s="138"/>
    </row>
    <row r="344" spans="1:10" s="116" customFormat="1" ht="16.5">
      <c r="A344" s="127"/>
      <c r="B344" s="11"/>
      <c r="C344" s="128"/>
      <c r="D344" s="11"/>
      <c r="E344" s="129"/>
      <c r="F344" s="129"/>
      <c r="G344" s="129"/>
      <c r="H344" s="131"/>
      <c r="I344" s="131"/>
      <c r="J344" s="138"/>
    </row>
    <row r="345" spans="1:10" s="116" customFormat="1" ht="16.5">
      <c r="A345" s="127"/>
      <c r="B345" s="11"/>
      <c r="C345" s="128"/>
      <c r="D345" s="11"/>
      <c r="E345" s="129"/>
      <c r="F345" s="162"/>
      <c r="G345" s="129"/>
      <c r="H345" s="131"/>
      <c r="I345" s="131"/>
      <c r="J345" s="138"/>
    </row>
    <row r="346" spans="1:10" s="116" customFormat="1" ht="16.5">
      <c r="A346" s="127"/>
      <c r="B346" s="29"/>
      <c r="C346" s="163"/>
      <c r="D346" s="29"/>
      <c r="E346" s="130"/>
      <c r="F346" s="130"/>
      <c r="G346" s="130"/>
      <c r="H346" s="131"/>
      <c r="I346" s="131"/>
      <c r="J346" s="138"/>
    </row>
    <row r="347" spans="1:10" s="116" customFormat="1" ht="16.5">
      <c r="A347" s="127"/>
      <c r="B347" s="164"/>
      <c r="C347" s="128"/>
      <c r="D347" s="11"/>
      <c r="E347" s="129"/>
      <c r="F347" s="129"/>
      <c r="G347" s="11"/>
      <c r="H347" s="131"/>
      <c r="I347" s="131"/>
      <c r="J347" s="138"/>
    </row>
    <row r="348" spans="1:10" s="116" customFormat="1" ht="16.5">
      <c r="A348"/>
      <c r="B348"/>
      <c r="C348"/>
      <c r="D348"/>
      <c r="E348"/>
      <c r="F348"/>
      <c r="G348"/>
      <c r="H348"/>
      <c r="I348"/>
      <c r="J348" s="138"/>
    </row>
    <row r="349" spans="1:10" s="116" customFormat="1" ht="16.5">
      <c r="A349" s="165"/>
      <c r="B349" s="18"/>
      <c r="C349" s="166"/>
      <c r="D349" s="18"/>
      <c r="E349" s="18"/>
      <c r="F349" s="18"/>
      <c r="G349" s="18"/>
      <c r="H349" s="167"/>
      <c r="I349" s="167"/>
      <c r="J349" s="138"/>
    </row>
    <row r="350" spans="1:10" s="116" customFormat="1" ht="16.5">
      <c r="A350" s="166"/>
      <c r="B350" s="168"/>
      <c r="C350" s="166"/>
      <c r="D350" s="18"/>
      <c r="E350" s="18"/>
      <c r="F350" s="18"/>
      <c r="G350" s="18"/>
      <c r="H350" s="167"/>
      <c r="I350" s="167"/>
      <c r="J350" s="138"/>
    </row>
    <row r="351" spans="1:10" s="116" customFormat="1" ht="16.5">
      <c r="A351" s="166"/>
      <c r="B351" s="18"/>
      <c r="C351" s="166"/>
      <c r="D351" s="18"/>
      <c r="E351" s="18"/>
      <c r="F351" s="18"/>
      <c r="G351" s="169"/>
      <c r="H351" s="167"/>
      <c r="I351" s="167"/>
      <c r="J351" s="138"/>
    </row>
    <row r="352" spans="1:10" s="116" customFormat="1" ht="16.5">
      <c r="A352" s="166"/>
      <c r="B352" s="18"/>
      <c r="C352" s="166"/>
      <c r="D352" s="18"/>
      <c r="E352" s="18"/>
      <c r="F352" s="18"/>
      <c r="G352" s="169"/>
      <c r="H352" s="167"/>
      <c r="I352" s="167"/>
      <c r="J352" s="138"/>
    </row>
    <row r="353" spans="1:10" s="116" customFormat="1" ht="16.5">
      <c r="A353" s="166"/>
      <c r="B353" s="18"/>
      <c r="C353" s="166"/>
      <c r="D353" s="18"/>
      <c r="E353" s="18"/>
      <c r="F353" s="18"/>
      <c r="G353" s="169"/>
      <c r="H353" s="167"/>
      <c r="I353" s="167"/>
      <c r="J353" s="138"/>
    </row>
    <row r="354" spans="1:10" s="116" customFormat="1" ht="16.5">
      <c r="A354" s="166"/>
      <c r="B354" s="18"/>
      <c r="C354" s="166"/>
      <c r="D354" s="18"/>
      <c r="E354" s="18"/>
      <c r="F354" s="18"/>
      <c r="G354" s="169"/>
      <c r="H354" s="167"/>
      <c r="I354" s="167"/>
      <c r="J354" s="138"/>
    </row>
    <row r="355" spans="1:10" s="116" customFormat="1" ht="16.5">
      <c r="A355" s="170"/>
      <c r="B355" s="18"/>
      <c r="C355" s="166"/>
      <c r="D355" s="18"/>
      <c r="E355" s="18"/>
      <c r="G355" s="169"/>
      <c r="H355" s="171"/>
      <c r="I355" s="171"/>
      <c r="J355" s="138"/>
    </row>
    <row r="356" spans="1:10" s="116" customFormat="1" ht="16.5">
      <c r="A356" s="170"/>
      <c r="B356" s="18"/>
      <c r="C356" s="166"/>
      <c r="D356" s="18"/>
      <c r="E356" s="18"/>
      <c r="F356" s="18"/>
      <c r="G356" s="18"/>
      <c r="H356" s="171"/>
      <c r="I356" s="171"/>
      <c r="J356" s="138"/>
    </row>
    <row r="357" spans="1:10" s="116" customFormat="1" ht="16.5">
      <c r="A357" s="170"/>
      <c r="C357" s="170"/>
      <c r="H357" s="171"/>
      <c r="I357" s="171"/>
      <c r="J357" s="138"/>
    </row>
    <row r="358" spans="1:10" s="116" customFormat="1" ht="16.5">
      <c r="A358" s="170"/>
      <c r="C358" s="170"/>
      <c r="H358" s="171"/>
      <c r="I358" s="171"/>
      <c r="J358" s="138"/>
    </row>
    <row r="359" spans="1:10" s="116" customFormat="1" ht="16.5">
      <c r="A359" s="170"/>
      <c r="C359" s="170"/>
      <c r="H359" s="171"/>
      <c r="I359" s="171"/>
      <c r="J359" s="138"/>
    </row>
    <row r="360" spans="1:10" s="116" customFormat="1" ht="16.5">
      <c r="A360" s="170"/>
      <c r="C360" s="170"/>
      <c r="H360" s="171"/>
      <c r="I360" s="171"/>
      <c r="J360" s="138"/>
    </row>
    <row r="361" spans="1:10" s="116" customFormat="1" ht="16.5">
      <c r="A361" s="170"/>
      <c r="C361" s="170"/>
      <c r="H361" s="171"/>
      <c r="I361" s="171"/>
      <c r="J361" s="138"/>
    </row>
    <row r="362" spans="1:10" s="116" customFormat="1" ht="16.5">
      <c r="A362" s="170"/>
      <c r="C362" s="170"/>
      <c r="H362" s="171"/>
      <c r="I362" s="171"/>
      <c r="J362" s="138"/>
    </row>
    <row r="363" spans="1:10" s="116" customFormat="1" ht="16.5">
      <c r="A363" s="170"/>
      <c r="C363" s="170"/>
      <c r="H363" s="171"/>
      <c r="I363" s="171"/>
      <c r="J363" s="138"/>
    </row>
    <row r="364" spans="1:10" s="116" customFormat="1" ht="16.5">
      <c r="A364" s="170"/>
      <c r="C364" s="170"/>
      <c r="H364" s="171"/>
      <c r="I364" s="171"/>
      <c r="J364" s="138"/>
    </row>
    <row r="365" spans="1:10" s="116" customFormat="1" ht="16.5">
      <c r="A365" s="170"/>
      <c r="C365" s="170"/>
      <c r="H365" s="171"/>
      <c r="I365" s="171"/>
      <c r="J365" s="138"/>
    </row>
    <row r="366" spans="1:10" s="116" customFormat="1" ht="16.5">
      <c r="A366" s="170"/>
      <c r="C366" s="170"/>
      <c r="H366" s="171"/>
      <c r="I366" s="171"/>
      <c r="J366" s="138"/>
    </row>
    <row r="367" spans="1:10" s="116" customFormat="1" ht="16.5">
      <c r="A367" s="170"/>
      <c r="C367" s="170"/>
      <c r="H367" s="171"/>
      <c r="I367" s="171"/>
      <c r="J367" s="138"/>
    </row>
    <row r="368" spans="1:10" s="116" customFormat="1" ht="16.5">
      <c r="A368" s="170"/>
      <c r="C368" s="170"/>
      <c r="H368" s="171"/>
      <c r="I368" s="171"/>
      <c r="J368" s="138"/>
    </row>
    <row r="369" spans="1:10" s="116" customFormat="1" ht="16.5">
      <c r="A369" s="170"/>
      <c r="C369" s="170"/>
      <c r="H369" s="171"/>
      <c r="I369" s="171"/>
      <c r="J369" s="138"/>
    </row>
    <row r="370" spans="1:10" s="116" customFormat="1" ht="16.5">
      <c r="A370" s="170"/>
      <c r="C370" s="170"/>
      <c r="H370" s="171"/>
      <c r="I370" s="171"/>
      <c r="J370" s="138"/>
    </row>
  </sheetData>
  <sheetProtection password="9CF8" sheet="1" objects="1" scenarios="1"/>
  <mergeCells count="2">
    <mergeCell ref="F1:G1"/>
    <mergeCell ref="H1:I1"/>
  </mergeCells>
  <printOptions horizontalCentered="1"/>
  <pageMargins left="0.27569444444444446" right="0.2361111111111111" top="0.35" bottom="0.4840277777777778" header="0.11805555555555555" footer="0.15763888888888888"/>
  <pageSetup horizontalDpi="300" verticalDpi="300" orientation="portrait" paperSize="9" scale="95" r:id="rId1"/>
  <headerFooter alignWithMargins="0">
    <oddHeader>&amp;RVýkaz výměr</oddHeader>
    <oddFooter xml:space="preserve">&amp;C&amp;"Tahoma,obyčejné"&amp;9 &amp;P&amp;R&amp;"Tahoma,obyčejné"&amp;9II.etapa rekonstrukce stromořadí - Janáčkovo nábřeří
&amp;UJednostupňový projekt pro provedení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Normal="125" zoomScaleSheetLayoutView="100" workbookViewId="0" topLeftCell="A1">
      <selection activeCell="K12" sqref="K12"/>
    </sheetView>
  </sheetViews>
  <sheetFormatPr defaultColWidth="9.00390625" defaultRowHeight="12.75"/>
  <cols>
    <col min="1" max="1" width="5.125" style="0" customWidth="1"/>
    <col min="2" max="2" width="41.375" style="0" customWidth="1"/>
    <col min="3" max="3" width="8.375" style="0" customWidth="1"/>
    <col min="4" max="4" width="8.75390625" style="0" customWidth="1"/>
    <col min="5" max="16384" width="11.625" style="0" customWidth="1"/>
  </cols>
  <sheetData>
    <row r="1" spans="1:5" ht="15">
      <c r="A1" s="25"/>
      <c r="B1" s="258" t="s">
        <v>14</v>
      </c>
      <c r="C1" s="187"/>
      <c r="D1" s="187"/>
      <c r="E1" s="187"/>
    </row>
    <row r="2" spans="1:5" ht="15">
      <c r="A2" s="25"/>
      <c r="B2" s="258" t="s">
        <v>15</v>
      </c>
      <c r="C2" s="187"/>
      <c r="D2" s="187"/>
      <c r="E2" s="187"/>
    </row>
    <row r="3" spans="1:5" ht="15.75" customHeight="1">
      <c r="A3" s="28"/>
      <c r="B3" s="184"/>
      <c r="C3" s="259"/>
      <c r="D3" s="259"/>
      <c r="E3" s="259"/>
    </row>
    <row r="4" spans="1:5" ht="30" customHeight="1">
      <c r="A4" s="28">
        <v>1</v>
      </c>
      <c r="B4" s="196" t="s">
        <v>16</v>
      </c>
      <c r="C4" s="259" t="s">
        <v>17</v>
      </c>
      <c r="D4" s="259" t="s">
        <v>18</v>
      </c>
      <c r="E4" s="259" t="s">
        <v>19</v>
      </c>
    </row>
    <row r="5" spans="1:5" ht="23.25" customHeight="1">
      <c r="A5" s="28"/>
      <c r="B5" s="260" t="s">
        <v>20</v>
      </c>
      <c r="C5" s="261">
        <f>1.93*1.96*1.3</f>
        <v>4.9176400000000005</v>
      </c>
      <c r="D5" s="262"/>
      <c r="E5" s="261"/>
    </row>
    <row r="6" spans="1:5" ht="13.5" customHeight="1">
      <c r="A6" s="28"/>
      <c r="B6" s="263" t="s">
        <v>21</v>
      </c>
      <c r="C6" s="264">
        <f>1.93*1.96*0.3</f>
        <v>1.1348400000000003</v>
      </c>
      <c r="D6" s="265">
        <v>36</v>
      </c>
      <c r="E6" s="264">
        <f>C6*D6</f>
        <v>40.85424000000001</v>
      </c>
    </row>
    <row r="7" spans="1:5" ht="14.25" customHeight="1">
      <c r="A7" s="28"/>
      <c r="B7" s="263" t="s">
        <v>22</v>
      </c>
      <c r="C7" s="264">
        <f>1.93*1.96*0.7</f>
        <v>2.6479600000000003</v>
      </c>
      <c r="D7" s="265">
        <v>36</v>
      </c>
      <c r="E7" s="264">
        <f>C7*D7</f>
        <v>95.32656000000001</v>
      </c>
    </row>
    <row r="8" spans="1:5" ht="27.75" customHeight="1">
      <c r="A8" s="28"/>
      <c r="B8" s="266" t="s">
        <v>23</v>
      </c>
      <c r="C8" s="264">
        <f>1.93*1.96*0.23</f>
        <v>0.8700440000000002</v>
      </c>
      <c r="D8" s="265">
        <v>36</v>
      </c>
      <c r="E8" s="264">
        <f>C8*D8</f>
        <v>31.321584000000005</v>
      </c>
    </row>
    <row r="9" spans="1:5" ht="12.75">
      <c r="A9" s="28"/>
      <c r="B9" s="204" t="s">
        <v>24</v>
      </c>
      <c r="C9" s="265"/>
      <c r="D9" s="267"/>
      <c r="E9" s="261">
        <f>SUM(E6:E8)</f>
        <v>167.50238400000003</v>
      </c>
    </row>
    <row r="10" spans="1:5" ht="12.75">
      <c r="A10" s="28"/>
      <c r="B10" s="204"/>
      <c r="C10" s="265"/>
      <c r="D10" s="187"/>
      <c r="E10" s="261"/>
    </row>
    <row r="11" spans="1:5" ht="12.75">
      <c r="A11" s="28"/>
      <c r="B11" s="204"/>
      <c r="C11" s="265"/>
      <c r="D11" s="187"/>
      <c r="E11" s="261"/>
    </row>
    <row r="12" spans="1:5" ht="12.75">
      <c r="A12" s="28">
        <v>2</v>
      </c>
      <c r="B12" s="268" t="s">
        <v>25</v>
      </c>
      <c r="C12" s="259" t="s">
        <v>17</v>
      </c>
      <c r="D12" s="259" t="s">
        <v>18</v>
      </c>
      <c r="E12" s="259" t="s">
        <v>19</v>
      </c>
    </row>
    <row r="13" spans="1:5" ht="24">
      <c r="A13" s="28"/>
      <c r="B13" s="269" t="s">
        <v>26</v>
      </c>
      <c r="C13" s="261">
        <f>1.5*1.5*1.3</f>
        <v>2.9250000000000003</v>
      </c>
      <c r="D13" s="262"/>
      <c r="E13" s="261"/>
    </row>
    <row r="14" spans="1:5" ht="12.75">
      <c r="A14" s="28"/>
      <c r="B14" s="266" t="s">
        <v>27</v>
      </c>
      <c r="C14" s="264">
        <f>1.5*1.5*0.3</f>
        <v>0.675</v>
      </c>
      <c r="D14" s="265">
        <v>1</v>
      </c>
      <c r="E14" s="264">
        <f>D14*C14</f>
        <v>0.675</v>
      </c>
    </row>
    <row r="15" spans="1:5" ht="12.75">
      <c r="A15" s="28"/>
      <c r="B15" s="266" t="s">
        <v>28</v>
      </c>
      <c r="C15" s="264">
        <f>1.5*1.5*0.7</f>
        <v>1.5750000000000002</v>
      </c>
      <c r="D15" s="265">
        <v>1</v>
      </c>
      <c r="E15" s="264">
        <f>D15*C15</f>
        <v>1.5750000000000002</v>
      </c>
    </row>
    <row r="16" spans="1:5" ht="24">
      <c r="A16" s="28"/>
      <c r="B16" s="266" t="s">
        <v>29</v>
      </c>
      <c r="C16" s="264">
        <f>1.5*1.5*0.23</f>
        <v>0.5175000000000001</v>
      </c>
      <c r="D16" s="265">
        <v>1</v>
      </c>
      <c r="E16" s="264">
        <f>D16*C16</f>
        <v>0.5175000000000001</v>
      </c>
    </row>
    <row r="17" spans="1:5" ht="12.75">
      <c r="A17" s="28"/>
      <c r="B17" s="184" t="s">
        <v>24</v>
      </c>
      <c r="C17" s="265"/>
      <c r="D17" s="270"/>
      <c r="E17" s="261">
        <f>SUM(E14:E16)</f>
        <v>2.7675</v>
      </c>
    </row>
    <row r="18" spans="1:5" ht="12.75">
      <c r="A18" s="28"/>
      <c r="B18" s="184"/>
      <c r="C18" s="265"/>
      <c r="D18" s="270"/>
      <c r="E18" s="261"/>
    </row>
    <row r="19" spans="1:5" ht="12.75">
      <c r="A19" s="28"/>
      <c r="B19" s="184"/>
      <c r="C19" s="265"/>
      <c r="D19" s="187"/>
      <c r="E19" s="261"/>
    </row>
    <row r="20" spans="1:5" ht="12.75">
      <c r="A20" s="28"/>
      <c r="B20" s="184"/>
      <c r="C20" s="259" t="s">
        <v>19</v>
      </c>
      <c r="D20" s="187" t="s">
        <v>30</v>
      </c>
      <c r="E20" s="259" t="s">
        <v>19</v>
      </c>
    </row>
    <row r="21" spans="1:5" ht="12.75">
      <c r="A21" s="28"/>
      <c r="B21" s="271" t="s">
        <v>31</v>
      </c>
      <c r="C21" s="272">
        <f>E6+E14</f>
        <v>41.52924000000001</v>
      </c>
      <c r="D21" s="272">
        <f>C21/100*10</f>
        <v>4.1529240000000005</v>
      </c>
      <c r="E21" s="272">
        <f>C21+D21</f>
        <v>45.68216400000001</v>
      </c>
    </row>
    <row r="22" spans="1:5" ht="12.75">
      <c r="A22" s="28"/>
      <c r="B22" s="227" t="s">
        <v>32</v>
      </c>
      <c r="C22" s="272">
        <f>E7+E15</f>
        <v>96.90156000000002</v>
      </c>
      <c r="D22" s="272">
        <f>C22/100*10</f>
        <v>9.690156000000002</v>
      </c>
      <c r="E22" s="272">
        <f>C22+D22</f>
        <v>106.59171600000002</v>
      </c>
    </row>
    <row r="23" spans="1:5" ht="12.75">
      <c r="A23" s="28"/>
      <c r="B23" s="263" t="s">
        <v>33</v>
      </c>
      <c r="C23" s="272">
        <f>E8+E16</f>
        <v>31.839084000000007</v>
      </c>
      <c r="D23" s="272">
        <f>C23/100*10</f>
        <v>3.183908400000001</v>
      </c>
      <c r="E23" s="272">
        <f>C23+D23</f>
        <v>35.02299240000001</v>
      </c>
    </row>
    <row r="24" spans="1:5" ht="12.75">
      <c r="A24" s="28"/>
      <c r="B24" s="263"/>
      <c r="C24" s="270"/>
      <c r="D24" s="270"/>
      <c r="E24" s="261">
        <f>SUM(E21:E23)</f>
        <v>187.29687240000004</v>
      </c>
    </row>
    <row r="25" spans="1:5" ht="12.75">
      <c r="A25" s="28"/>
      <c r="B25" s="37"/>
      <c r="C25" s="35"/>
      <c r="D25" s="35"/>
      <c r="E25" s="33"/>
    </row>
    <row r="26" spans="1:5" ht="12.75">
      <c r="A26" s="28"/>
      <c r="B26" s="37"/>
      <c r="C26" s="32"/>
      <c r="D26" s="35"/>
      <c r="E26" s="33"/>
    </row>
    <row r="27" spans="1:5" ht="12.75">
      <c r="A27" s="28"/>
      <c r="B27" s="29"/>
      <c r="C27" s="32"/>
      <c r="D27" s="35"/>
      <c r="E27" s="33"/>
    </row>
    <row r="28" spans="1:5" ht="12.75">
      <c r="A28" s="28"/>
      <c r="B28" s="37"/>
      <c r="C28" s="32"/>
      <c r="D28" s="27"/>
      <c r="E28" s="33"/>
    </row>
    <row r="29" spans="1:5" ht="12.75">
      <c r="A29" s="28"/>
      <c r="B29" s="29"/>
      <c r="C29" s="32"/>
      <c r="D29" s="27"/>
      <c r="E29" s="33"/>
    </row>
    <row r="30" spans="1:5" ht="12.75">
      <c r="A30" s="28"/>
      <c r="B30" s="29"/>
      <c r="C30" s="30"/>
      <c r="D30" s="30"/>
      <c r="E30" s="30"/>
    </row>
    <row r="31" spans="1:5" ht="12.75">
      <c r="A31" s="28"/>
      <c r="B31" s="37"/>
      <c r="C31" s="38"/>
      <c r="D31" s="35"/>
      <c r="E31" s="38"/>
    </row>
    <row r="32" spans="1:5" ht="12.75">
      <c r="A32" s="28"/>
      <c r="B32" s="37"/>
      <c r="C32" s="32"/>
      <c r="D32" s="32"/>
      <c r="E32" s="33"/>
    </row>
    <row r="33" spans="1:5" ht="12.75">
      <c r="A33" s="28"/>
      <c r="B33" s="37"/>
      <c r="C33" s="32"/>
      <c r="D33" s="32"/>
      <c r="E33" s="33"/>
    </row>
    <row r="34" spans="1:5" ht="12.75">
      <c r="A34" s="28"/>
      <c r="B34" s="37"/>
      <c r="C34" s="32"/>
      <c r="D34" s="32"/>
      <c r="E34" s="33"/>
    </row>
    <row r="35" spans="1:5" ht="12.75">
      <c r="A35" s="28"/>
      <c r="B35" s="29"/>
      <c r="C35" s="32"/>
      <c r="D35" s="32"/>
      <c r="E35" s="33"/>
    </row>
    <row r="36" spans="1:5" ht="12.75">
      <c r="A36" s="28"/>
      <c r="B36" s="29"/>
      <c r="C36" s="32"/>
      <c r="D36" s="32"/>
      <c r="E36" s="33"/>
    </row>
    <row r="37" spans="1:5" ht="12.75">
      <c r="A37" s="28"/>
      <c r="B37" s="29"/>
      <c r="C37" s="32"/>
      <c r="D37" s="32"/>
      <c r="E37" s="33"/>
    </row>
    <row r="38" spans="1:5" ht="12.75">
      <c r="A38" s="28"/>
      <c r="B38" s="29"/>
      <c r="C38" s="32"/>
      <c r="D38" s="32"/>
      <c r="E38" s="33"/>
    </row>
    <row r="39" spans="1:5" ht="12.75">
      <c r="A39" s="28"/>
      <c r="B39" s="29"/>
      <c r="C39" s="32"/>
      <c r="D39" s="32"/>
      <c r="E39" s="33"/>
    </row>
    <row r="40" spans="1:5" ht="12.75">
      <c r="A40" s="28"/>
      <c r="B40" s="29"/>
      <c r="C40" s="32"/>
      <c r="D40" s="32"/>
      <c r="E40" s="33"/>
    </row>
    <row r="41" spans="1:5" ht="12.75">
      <c r="A41" s="28"/>
      <c r="B41" s="29"/>
      <c r="C41" s="32"/>
      <c r="D41" s="32"/>
      <c r="E41" s="33"/>
    </row>
    <row r="42" spans="1:5" ht="12.75">
      <c r="A42" s="28"/>
      <c r="B42" s="29"/>
      <c r="C42" s="32"/>
      <c r="D42" s="32"/>
      <c r="E42" s="33"/>
    </row>
    <row r="43" spans="1:5" ht="12.75">
      <c r="A43" s="28"/>
      <c r="B43" s="29"/>
      <c r="C43" s="32"/>
      <c r="D43" s="32"/>
      <c r="E43" s="33"/>
    </row>
    <row r="44" spans="1:5" ht="12.75">
      <c r="A44" s="28"/>
      <c r="B44" s="29"/>
      <c r="C44" s="32"/>
      <c r="D44" s="32"/>
      <c r="E44" s="33"/>
    </row>
    <row r="45" spans="1:5" ht="12.75">
      <c r="A45" s="28"/>
      <c r="B45" s="29"/>
      <c r="C45" s="32"/>
      <c r="D45" s="32"/>
      <c r="E45" s="33"/>
    </row>
    <row r="46" spans="1:5" ht="12.75">
      <c r="A46" s="28"/>
      <c r="B46" s="29"/>
      <c r="C46" s="32"/>
      <c r="D46" s="32"/>
      <c r="E46" s="33"/>
    </row>
    <row r="47" spans="1:5" ht="12.75">
      <c r="A47" s="28"/>
      <c r="B47" s="29"/>
      <c r="C47" s="32"/>
      <c r="D47" s="32"/>
      <c r="E47" s="33"/>
    </row>
  </sheetData>
  <sheetProtection password="9CF8" sheet="1" objects="1" scenarios="1" selectLockedCells="1" selectUnlockedCells="1"/>
  <printOptions/>
  <pageMargins left="0.7875" right="0.7875" top="0.8861111111111111" bottom="1.4277777777777776" header="0.5118055555555555" footer="0.7875"/>
  <pageSetup horizontalDpi="300" verticalDpi="300" orientation="portrait" paperSize="9" r:id="rId1"/>
  <headerFooter alignWithMargins="0">
    <oddFooter>&amp;C&amp;"Tahoma,obyčejné"&amp;9&amp;P&amp;R&amp;"Tahoma,obyčejné"&amp;9Výkaz výměr
II.etapa rekonstrukce stromořadí Janáčkovo nábřeží
Jednostupňový projekt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125" zoomScaleSheetLayoutView="100" workbookViewId="0" topLeftCell="A34">
      <selection activeCell="B96" sqref="B96"/>
    </sheetView>
  </sheetViews>
  <sheetFormatPr defaultColWidth="9.00390625" defaultRowHeight="12.75"/>
  <cols>
    <col min="1" max="1" width="3.625" style="0" customWidth="1"/>
    <col min="2" max="2" width="49.00390625" style="0" customWidth="1"/>
    <col min="3" max="3" width="10.625" style="0" customWidth="1"/>
    <col min="4" max="16384" width="11.625" style="0" customWidth="1"/>
  </cols>
  <sheetData>
    <row r="1" spans="1:7" ht="19.5" customHeight="1">
      <c r="A1" s="25"/>
      <c r="B1" s="26" t="s">
        <v>34</v>
      </c>
      <c r="C1" s="39"/>
      <c r="D1" s="40"/>
      <c r="E1" s="27"/>
      <c r="F1" s="27"/>
      <c r="G1" s="41"/>
    </row>
    <row r="2" spans="1:7" ht="12.75">
      <c r="A2" s="28"/>
      <c r="B2" s="11"/>
      <c r="C2" s="39"/>
      <c r="D2" s="40"/>
      <c r="E2" s="27"/>
      <c r="F2" s="27"/>
      <c r="G2" s="41"/>
    </row>
    <row r="3" spans="1:7" ht="33.75">
      <c r="A3" s="28">
        <v>1</v>
      </c>
      <c r="B3" s="6" t="s">
        <v>35</v>
      </c>
      <c r="C3" s="42" t="s">
        <v>36</v>
      </c>
      <c r="D3" s="43"/>
      <c r="E3" s="30"/>
      <c r="F3" s="27"/>
      <c r="G3" s="41"/>
    </row>
    <row r="4" spans="1:7" ht="24">
      <c r="A4" s="28"/>
      <c r="B4" s="44" t="s">
        <v>37</v>
      </c>
      <c r="C4" s="45">
        <f>1.5*1.5*1.3*1</f>
        <v>2.9250000000000003</v>
      </c>
      <c r="D4" s="40"/>
      <c r="E4" s="27"/>
      <c r="F4" s="27"/>
      <c r="G4" s="41"/>
    </row>
    <row r="5" spans="1:7" ht="12.75">
      <c r="A5" s="28"/>
      <c r="B5" s="5" t="s">
        <v>24</v>
      </c>
      <c r="C5" s="46">
        <f>SUM(C4)</f>
        <v>2.9250000000000003</v>
      </c>
      <c r="D5" s="32"/>
      <c r="E5" s="32"/>
      <c r="F5" s="27"/>
      <c r="G5" s="41"/>
    </row>
    <row r="6" spans="1:7" ht="12.75">
      <c r="A6" s="28"/>
      <c r="B6" s="29"/>
      <c r="C6" s="47"/>
      <c r="D6" s="32"/>
      <c r="E6" s="32"/>
      <c r="F6" s="27"/>
      <c r="G6" s="41"/>
    </row>
    <row r="7" spans="1:7" ht="12.75">
      <c r="A7" s="28"/>
      <c r="B7" s="48"/>
      <c r="C7" s="39"/>
      <c r="D7" s="40"/>
      <c r="E7" s="27"/>
      <c r="F7" s="27"/>
      <c r="G7" s="41"/>
    </row>
    <row r="8" spans="1:7" ht="78.75">
      <c r="A8" s="28">
        <v>2</v>
      </c>
      <c r="B8" s="34" t="s">
        <v>38</v>
      </c>
      <c r="C8" s="42" t="s">
        <v>36</v>
      </c>
      <c r="D8" s="42" t="s">
        <v>39</v>
      </c>
      <c r="E8" s="49" t="s">
        <v>40</v>
      </c>
      <c r="F8" s="27"/>
      <c r="G8" s="41"/>
    </row>
    <row r="9" spans="1:7" ht="24">
      <c r="A9" s="28"/>
      <c r="B9" s="36" t="s">
        <v>41</v>
      </c>
      <c r="C9" s="45">
        <v>4.92</v>
      </c>
      <c r="D9" s="50"/>
      <c r="E9" s="51"/>
      <c r="F9" s="27"/>
      <c r="G9" s="41"/>
    </row>
    <row r="10" spans="1:7" ht="24">
      <c r="A10" s="28"/>
      <c r="B10" s="36" t="s">
        <v>42</v>
      </c>
      <c r="C10" s="45">
        <f>C9</f>
        <v>4.92</v>
      </c>
      <c r="D10" s="52"/>
      <c r="E10" s="31"/>
      <c r="F10" s="27"/>
      <c r="G10" s="41"/>
    </row>
    <row r="11" spans="1:7" ht="12.75">
      <c r="A11" s="28"/>
      <c r="B11" s="36" t="s">
        <v>43</v>
      </c>
      <c r="C11" s="45">
        <f>C10</f>
        <v>4.92</v>
      </c>
      <c r="D11" s="52"/>
      <c r="E11" s="31"/>
      <c r="F11" s="27"/>
      <c r="G11" s="41"/>
    </row>
    <row r="12" spans="1:7" ht="12.75">
      <c r="A12" s="28"/>
      <c r="B12" s="36" t="s">
        <v>44</v>
      </c>
      <c r="C12" s="45">
        <f>C9</f>
        <v>4.92</v>
      </c>
      <c r="D12" s="52"/>
      <c r="E12" s="31"/>
      <c r="F12" s="27"/>
      <c r="G12" s="41"/>
    </row>
    <row r="13" spans="1:7" ht="12.75">
      <c r="A13" s="28"/>
      <c r="B13" s="36" t="s">
        <v>45</v>
      </c>
      <c r="C13" s="45">
        <f>C9</f>
        <v>4.92</v>
      </c>
      <c r="D13" s="52"/>
      <c r="E13" s="31"/>
      <c r="F13" s="27"/>
      <c r="G13" s="41"/>
    </row>
    <row r="14" spans="1:7" ht="12.75">
      <c r="A14" s="28"/>
      <c r="B14" s="36" t="s">
        <v>46</v>
      </c>
      <c r="C14" s="45">
        <f>C9</f>
        <v>4.92</v>
      </c>
      <c r="D14" s="52"/>
      <c r="E14" s="31"/>
      <c r="F14" s="27"/>
      <c r="G14" s="41"/>
    </row>
    <row r="15" spans="1:7" ht="12.75">
      <c r="A15" s="28"/>
      <c r="B15" s="36" t="s">
        <v>47</v>
      </c>
      <c r="C15" s="45">
        <f>C9</f>
        <v>4.92</v>
      </c>
      <c r="D15" s="52"/>
      <c r="E15" s="31"/>
      <c r="F15" s="27"/>
      <c r="G15" s="41"/>
    </row>
    <row r="16" spans="1:7" ht="12.75">
      <c r="A16" s="28"/>
      <c r="B16" s="36" t="s">
        <v>48</v>
      </c>
      <c r="C16" s="45">
        <f>C9</f>
        <v>4.92</v>
      </c>
      <c r="D16" s="52"/>
      <c r="E16" s="31"/>
      <c r="F16" s="27"/>
      <c r="G16" s="41"/>
    </row>
    <row r="17" spans="1:7" ht="12.75">
      <c r="A17" s="28"/>
      <c r="B17" s="36" t="s">
        <v>49</v>
      </c>
      <c r="C17" s="45">
        <f>C9</f>
        <v>4.92</v>
      </c>
      <c r="D17" s="52"/>
      <c r="E17" s="31"/>
      <c r="F17" s="27"/>
      <c r="G17" s="41"/>
    </row>
    <row r="18" spans="1:7" ht="12.75">
      <c r="A18" s="28"/>
      <c r="B18" s="36" t="s">
        <v>50</v>
      </c>
      <c r="C18" s="45">
        <v>4.92</v>
      </c>
      <c r="D18" s="52"/>
      <c r="E18" s="31"/>
      <c r="F18" s="27"/>
      <c r="G18" s="41"/>
    </row>
    <row r="19" spans="1:7" ht="12.75">
      <c r="A19" s="28"/>
      <c r="B19" s="36" t="s">
        <v>51</v>
      </c>
      <c r="C19" s="45">
        <f>C9</f>
        <v>4.92</v>
      </c>
      <c r="D19" s="52"/>
      <c r="E19" s="31"/>
      <c r="F19" s="27"/>
      <c r="G19" s="41"/>
    </row>
    <row r="20" spans="1:7" ht="12.75">
      <c r="A20" s="28"/>
      <c r="B20" s="36" t="s">
        <v>52</v>
      </c>
      <c r="C20" s="45">
        <f>C9</f>
        <v>4.92</v>
      </c>
      <c r="D20" s="52">
        <f>1.8*1.3</f>
        <v>2.3400000000000003</v>
      </c>
      <c r="E20" s="31">
        <v>1.8</v>
      </c>
      <c r="F20" s="27"/>
      <c r="G20" s="41"/>
    </row>
    <row r="21" spans="1:7" ht="24">
      <c r="A21" s="28"/>
      <c r="B21" s="36" t="s">
        <v>53</v>
      </c>
      <c r="C21" s="45">
        <f>C9</f>
        <v>4.92</v>
      </c>
      <c r="D21" s="52"/>
      <c r="E21" s="31">
        <v>1.5</v>
      </c>
      <c r="F21" s="27"/>
      <c r="G21" s="41"/>
    </row>
    <row r="22" spans="1:7" ht="24">
      <c r="A22" s="28"/>
      <c r="B22" s="36" t="s">
        <v>54</v>
      </c>
      <c r="C22" s="45">
        <f>C9</f>
        <v>4.92</v>
      </c>
      <c r="D22" s="52">
        <f>1*1.3</f>
        <v>1.3</v>
      </c>
      <c r="E22" s="31">
        <v>1.2</v>
      </c>
      <c r="F22" s="27"/>
      <c r="G22" s="41"/>
    </row>
    <row r="23" spans="1:7" ht="12.75">
      <c r="A23" s="28"/>
      <c r="B23" s="36" t="s">
        <v>55</v>
      </c>
      <c r="C23" s="45">
        <f>C9</f>
        <v>4.92</v>
      </c>
      <c r="D23" s="52">
        <f>0.65*1.3</f>
        <v>0.8450000000000001</v>
      </c>
      <c r="E23" s="31">
        <v>0.65</v>
      </c>
      <c r="F23" s="27"/>
      <c r="G23" s="41"/>
    </row>
    <row r="24" spans="1:7" ht="12.75">
      <c r="A24" s="28"/>
      <c r="B24" s="36" t="s">
        <v>56</v>
      </c>
      <c r="C24" s="45">
        <f>C9</f>
        <v>4.92</v>
      </c>
      <c r="D24" s="52">
        <f>D23</f>
        <v>0.8450000000000001</v>
      </c>
      <c r="E24" s="31">
        <v>0.65</v>
      </c>
      <c r="F24" s="27"/>
      <c r="G24" s="41"/>
    </row>
    <row r="25" spans="1:7" ht="12.75">
      <c r="A25" s="28"/>
      <c r="B25" s="36" t="s">
        <v>57</v>
      </c>
      <c r="C25" s="45">
        <f>C9</f>
        <v>4.92</v>
      </c>
      <c r="D25" s="52">
        <f>D23</f>
        <v>0.8450000000000001</v>
      </c>
      <c r="E25" s="31">
        <v>0.65</v>
      </c>
      <c r="F25" s="27"/>
      <c r="G25" s="41"/>
    </row>
    <row r="26" spans="1:7" ht="12.75">
      <c r="A26" s="28"/>
      <c r="B26" s="36" t="s">
        <v>58</v>
      </c>
      <c r="C26" s="45">
        <f>C9</f>
        <v>4.92</v>
      </c>
      <c r="D26" s="52">
        <f>D23</f>
        <v>0.8450000000000001</v>
      </c>
      <c r="E26" s="31">
        <v>0.65</v>
      </c>
      <c r="F26" s="27"/>
      <c r="G26" s="41"/>
    </row>
    <row r="27" spans="1:7" ht="25.5" customHeight="1">
      <c r="A27" s="28"/>
      <c r="B27" s="36" t="s">
        <v>59</v>
      </c>
      <c r="C27" s="45">
        <f>C9</f>
        <v>4.92</v>
      </c>
      <c r="D27" s="52">
        <f>3.6*1.3</f>
        <v>4.680000000000001</v>
      </c>
      <c r="E27" s="31">
        <v>3.6</v>
      </c>
      <c r="F27" s="27"/>
      <c r="G27" s="41"/>
    </row>
    <row r="28" spans="1:7" ht="24">
      <c r="A28" s="28"/>
      <c r="B28" s="36" t="s">
        <v>60</v>
      </c>
      <c r="C28" s="45">
        <f>C9</f>
        <v>4.92</v>
      </c>
      <c r="D28" s="52">
        <f>0.7*1.3</f>
        <v>0.9100000000000001</v>
      </c>
      <c r="E28" s="31">
        <v>0.7</v>
      </c>
      <c r="F28" s="27"/>
      <c r="G28" s="41"/>
    </row>
    <row r="29" spans="1:7" ht="12.75">
      <c r="A29" s="28"/>
      <c r="B29" s="36" t="s">
        <v>61</v>
      </c>
      <c r="C29" s="45">
        <f>C9</f>
        <v>4.92</v>
      </c>
      <c r="D29" s="52">
        <f>1.3*1.3</f>
        <v>1.6900000000000002</v>
      </c>
      <c r="E29" s="31">
        <v>1.3</v>
      </c>
      <c r="F29" s="27"/>
      <c r="G29" s="41"/>
    </row>
    <row r="30" spans="1:7" ht="12.75">
      <c r="A30" s="28"/>
      <c r="B30" s="36" t="s">
        <v>62</v>
      </c>
      <c r="C30" s="45">
        <f>C9</f>
        <v>4.92</v>
      </c>
      <c r="D30" s="52"/>
      <c r="E30" s="31"/>
      <c r="F30" s="27"/>
      <c r="G30" s="41"/>
    </row>
    <row r="31" spans="1:7" ht="12.75">
      <c r="A31" s="28"/>
      <c r="B31" s="36" t="s">
        <v>63</v>
      </c>
      <c r="C31" s="45">
        <f>C9</f>
        <v>4.92</v>
      </c>
      <c r="D31" s="52"/>
      <c r="E31" s="31"/>
      <c r="F31" s="27"/>
      <c r="G31" s="41"/>
    </row>
    <row r="32" spans="1:7" ht="12.75">
      <c r="A32" s="28"/>
      <c r="B32" s="36" t="s">
        <v>64</v>
      </c>
      <c r="C32" s="45">
        <f>C9</f>
        <v>4.92</v>
      </c>
      <c r="D32" s="52">
        <f>1.2*1.3</f>
        <v>1.56</v>
      </c>
      <c r="E32" s="31">
        <v>1.2</v>
      </c>
      <c r="F32" s="27"/>
      <c r="G32" s="41"/>
    </row>
    <row r="33" spans="1:7" ht="12.75">
      <c r="A33" s="28"/>
      <c r="B33" s="36" t="s">
        <v>65</v>
      </c>
      <c r="C33" s="45">
        <f>C9</f>
        <v>4.92</v>
      </c>
      <c r="D33" s="52">
        <f>1.5*1.3</f>
        <v>1.9500000000000002</v>
      </c>
      <c r="E33" s="31">
        <v>1.5</v>
      </c>
      <c r="F33" s="27"/>
      <c r="G33" s="41"/>
    </row>
    <row r="34" spans="1:7" ht="12.75">
      <c r="A34" s="28"/>
      <c r="B34" s="36" t="s">
        <v>66</v>
      </c>
      <c r="C34" s="45">
        <f>C9</f>
        <v>4.92</v>
      </c>
      <c r="D34" s="52">
        <f>1.2*1.3</f>
        <v>1.56</v>
      </c>
      <c r="E34" s="31">
        <v>1.2</v>
      </c>
      <c r="F34" s="27"/>
      <c r="G34" s="41"/>
    </row>
    <row r="35" spans="1:7" ht="25.5" customHeight="1">
      <c r="A35" s="28"/>
      <c r="B35" s="36" t="s">
        <v>67</v>
      </c>
      <c r="C35" s="45">
        <f>C9</f>
        <v>4.92</v>
      </c>
      <c r="D35" s="52">
        <f>2.7*1.3</f>
        <v>3.5100000000000002</v>
      </c>
      <c r="E35" s="31">
        <v>2.7</v>
      </c>
      <c r="F35" s="27"/>
      <c r="G35" s="41"/>
    </row>
    <row r="36" spans="1:7" ht="12.75">
      <c r="A36" s="28"/>
      <c r="B36" s="36" t="s">
        <v>68</v>
      </c>
      <c r="C36" s="45">
        <f>C9</f>
        <v>4.92</v>
      </c>
      <c r="D36" s="52">
        <f>1*1.3</f>
        <v>1.3</v>
      </c>
      <c r="E36" s="31">
        <v>1</v>
      </c>
      <c r="F36" s="27"/>
      <c r="G36" s="41"/>
    </row>
    <row r="37" spans="1:7" ht="12.75">
      <c r="A37" s="28"/>
      <c r="B37" s="36" t="s">
        <v>69</v>
      </c>
      <c r="C37" s="45">
        <f>C9</f>
        <v>4.92</v>
      </c>
      <c r="D37" s="52">
        <f>1.3*1.3</f>
        <v>1.6900000000000002</v>
      </c>
      <c r="E37" s="31">
        <v>1.3</v>
      </c>
      <c r="F37" s="27"/>
      <c r="G37" s="41"/>
    </row>
    <row r="38" spans="1:7" ht="22.5" customHeight="1">
      <c r="A38" s="28"/>
      <c r="B38" s="36" t="s">
        <v>70</v>
      </c>
      <c r="C38" s="45">
        <f>C9</f>
        <v>4.92</v>
      </c>
      <c r="D38" s="52">
        <f>1.2*1.3</f>
        <v>1.56</v>
      </c>
      <c r="E38" s="31">
        <v>1.2</v>
      </c>
      <c r="F38" s="27"/>
      <c r="G38" s="41"/>
    </row>
    <row r="39" spans="1:7" ht="12.75">
      <c r="A39" s="28"/>
      <c r="B39" s="36" t="s">
        <v>71</v>
      </c>
      <c r="C39" s="45">
        <f>C9</f>
        <v>4.92</v>
      </c>
      <c r="D39" s="52">
        <f>1.93*1.3</f>
        <v>2.5090000000000003</v>
      </c>
      <c r="E39" s="31">
        <v>1.93</v>
      </c>
      <c r="F39" s="27"/>
      <c r="G39" s="41"/>
    </row>
    <row r="40" spans="1:7" ht="12.75">
      <c r="A40" s="28"/>
      <c r="B40" s="36" t="s">
        <v>72</v>
      </c>
      <c r="C40" s="45">
        <f>C9</f>
        <v>4.92</v>
      </c>
      <c r="D40" s="52">
        <f>1.8*1.3</f>
        <v>2.3400000000000003</v>
      </c>
      <c r="E40" s="31">
        <v>1.8</v>
      </c>
      <c r="F40" s="27"/>
      <c r="G40" s="41"/>
    </row>
    <row r="41" spans="1:7" ht="12.75">
      <c r="A41" s="28"/>
      <c r="B41" s="36" t="s">
        <v>73</v>
      </c>
      <c r="C41" s="45">
        <f>C9</f>
        <v>4.92</v>
      </c>
      <c r="D41" s="52">
        <f>1.2*1.3</f>
        <v>1.56</v>
      </c>
      <c r="E41" s="31">
        <v>1.2</v>
      </c>
      <c r="F41" s="27"/>
      <c r="G41" s="41"/>
    </row>
    <row r="42" spans="1:7" ht="12.75">
      <c r="A42" s="28"/>
      <c r="B42" s="53"/>
      <c r="C42" s="54"/>
      <c r="D42" s="55"/>
      <c r="E42" s="56"/>
      <c r="F42" s="27"/>
      <c r="G42" s="41"/>
    </row>
    <row r="43" spans="1:7" ht="12.75">
      <c r="A43" s="25"/>
      <c r="B43" s="6" t="s">
        <v>74</v>
      </c>
      <c r="C43" s="57">
        <f>SUM(C9:C42)</f>
        <v>162.35999999999996</v>
      </c>
      <c r="D43" s="58"/>
      <c r="E43" s="59">
        <f>SUM(E20:E42)</f>
        <v>27.73</v>
      </c>
      <c r="F43" s="27"/>
      <c r="G43" s="41"/>
    </row>
    <row r="44" spans="1:7" ht="12.75">
      <c r="A44" s="28"/>
      <c r="B44" s="60" t="s">
        <v>75</v>
      </c>
      <c r="C44" s="61"/>
      <c r="D44" s="58">
        <f>SUM(D20:D43)</f>
        <v>33.839000000000006</v>
      </c>
      <c r="E44" s="62"/>
      <c r="F44" s="27"/>
      <c r="G44" s="41"/>
    </row>
    <row r="45" spans="1:7" ht="12.75">
      <c r="A45" s="28"/>
      <c r="B45" s="63"/>
      <c r="C45" s="39"/>
      <c r="D45" s="40"/>
      <c r="E45" s="27"/>
      <c r="F45" s="27"/>
      <c r="G45" s="41"/>
    </row>
    <row r="46" spans="1:7" ht="22.5">
      <c r="A46" s="28">
        <v>3</v>
      </c>
      <c r="B46" s="5" t="s">
        <v>76</v>
      </c>
      <c r="C46" s="42" t="s">
        <v>77</v>
      </c>
      <c r="D46" s="43"/>
      <c r="E46" s="30"/>
      <c r="F46" s="27"/>
      <c r="G46" s="41"/>
    </row>
    <row r="47" spans="1:7" ht="24">
      <c r="A47" s="28"/>
      <c r="B47" s="36" t="s">
        <v>78</v>
      </c>
      <c r="C47" s="45">
        <f>(1.93*1.96*1.2*2/3*9)</f>
        <v>27.23616</v>
      </c>
      <c r="D47" s="40"/>
      <c r="E47" s="27"/>
      <c r="F47" s="27"/>
      <c r="G47" s="41"/>
    </row>
    <row r="48" spans="1:7" ht="12.75">
      <c r="A48" s="28"/>
      <c r="B48" s="64" t="s">
        <v>79</v>
      </c>
      <c r="C48" s="65"/>
      <c r="D48" s="40"/>
      <c r="E48" s="27"/>
      <c r="F48" s="27"/>
      <c r="G48" s="41"/>
    </row>
    <row r="49" spans="1:7" ht="24">
      <c r="A49" s="28"/>
      <c r="B49" s="66" t="s">
        <v>80</v>
      </c>
      <c r="C49" s="65"/>
      <c r="D49" s="40"/>
      <c r="E49" s="38"/>
      <c r="F49" s="27"/>
      <c r="G49" s="41"/>
    </row>
    <row r="50" spans="1:7" ht="12.75">
      <c r="A50" s="28"/>
      <c r="B50" s="67" t="s">
        <v>81</v>
      </c>
      <c r="C50" s="68">
        <f>SUM(C47:C49)</f>
        <v>27.23616</v>
      </c>
      <c r="D50" s="40"/>
      <c r="E50" s="69"/>
      <c r="F50" s="27"/>
      <c r="G50" s="41"/>
    </row>
    <row r="51" spans="1:7" ht="12.75">
      <c r="A51" s="28"/>
      <c r="B51" s="29"/>
      <c r="C51" s="28"/>
      <c r="D51" s="40"/>
      <c r="E51" s="69"/>
      <c r="F51" s="27"/>
      <c r="G51" s="41"/>
    </row>
    <row r="52" spans="1:7" ht="12.75">
      <c r="A52" s="28"/>
      <c r="B52" s="29"/>
      <c r="C52" s="39"/>
      <c r="D52" s="40"/>
      <c r="E52" s="69"/>
      <c r="F52" s="27"/>
      <c r="G52" s="41"/>
    </row>
    <row r="53" spans="1:7" ht="22.5">
      <c r="A53" s="28">
        <v>4</v>
      </c>
      <c r="B53" s="5" t="s">
        <v>82</v>
      </c>
      <c r="C53" s="42" t="s">
        <v>77</v>
      </c>
      <c r="D53" s="43"/>
      <c r="E53" s="30"/>
      <c r="F53" s="27"/>
      <c r="G53" s="41"/>
    </row>
    <row r="54" spans="1:7" ht="24">
      <c r="A54" s="28"/>
      <c r="B54" s="36" t="s">
        <v>83</v>
      </c>
      <c r="C54" s="45">
        <f>(1.5*1.5*1.3*2/3*4)</f>
        <v>7.800000000000001</v>
      </c>
      <c r="D54" s="40"/>
      <c r="E54" s="27"/>
      <c r="F54" s="27"/>
      <c r="G54" s="41"/>
    </row>
    <row r="55" spans="1:7" ht="12.75">
      <c r="A55" s="28"/>
      <c r="B55" s="64" t="s">
        <v>84</v>
      </c>
      <c r="C55" s="45"/>
      <c r="D55" s="70"/>
      <c r="E55" s="38"/>
      <c r="F55" s="27"/>
      <c r="G55" s="41"/>
    </row>
    <row r="56" spans="1:7" ht="12.75">
      <c r="A56" s="28"/>
      <c r="B56" s="67" t="s">
        <v>81</v>
      </c>
      <c r="C56" s="68">
        <f>SUM(C54:C55)</f>
        <v>7.800000000000001</v>
      </c>
      <c r="D56" s="28"/>
      <c r="E56" s="69"/>
      <c r="F56" s="27"/>
      <c r="G56" s="41"/>
    </row>
    <row r="57" spans="1:7" ht="12.75">
      <c r="A57" s="28"/>
      <c r="B57" s="29"/>
      <c r="C57" s="39"/>
      <c r="D57" s="40"/>
      <c r="E57" s="69"/>
      <c r="F57" s="27"/>
      <c r="G57" s="41"/>
    </row>
    <row r="58" spans="1:7" ht="12.75">
      <c r="A58" s="28"/>
      <c r="B58" s="29"/>
      <c r="C58" s="39"/>
      <c r="D58" s="40"/>
      <c r="E58" s="69"/>
      <c r="F58" s="27"/>
      <c r="G58" s="41"/>
    </row>
    <row r="59" spans="1:7" ht="22.5">
      <c r="A59" s="28">
        <v>5</v>
      </c>
      <c r="B59" s="5" t="s">
        <v>85</v>
      </c>
      <c r="C59" s="42" t="s">
        <v>86</v>
      </c>
      <c r="D59" s="43"/>
      <c r="E59" s="30"/>
      <c r="F59" s="27"/>
      <c r="G59" s="41"/>
    </row>
    <row r="60" spans="1:7" ht="24">
      <c r="A60" s="28"/>
      <c r="B60" s="71" t="s">
        <v>87</v>
      </c>
      <c r="C60" s="72"/>
      <c r="D60" s="40"/>
      <c r="E60" s="69"/>
      <c r="F60" s="27"/>
      <c r="G60" s="41"/>
    </row>
    <row r="61" spans="1:7" ht="12.75">
      <c r="A61" s="28"/>
      <c r="B61" s="73" t="s">
        <v>84</v>
      </c>
      <c r="C61" s="74">
        <f>(1.5*1.5*1.3*2/3)</f>
        <v>1.9500000000000002</v>
      </c>
      <c r="D61" s="70"/>
      <c r="E61" s="69"/>
      <c r="F61" s="27"/>
      <c r="G61" s="41"/>
    </row>
    <row r="62" spans="1:7" ht="12.75">
      <c r="A62" s="28"/>
      <c r="B62" s="67" t="s">
        <v>81</v>
      </c>
      <c r="C62" s="75">
        <f>SUM(C61)</f>
        <v>1.9500000000000002</v>
      </c>
      <c r="D62" s="28"/>
      <c r="E62" s="69"/>
      <c r="F62" s="27"/>
      <c r="G62" s="41"/>
    </row>
    <row r="63" spans="1:7" ht="12.75">
      <c r="A63" s="28"/>
      <c r="B63" s="29"/>
      <c r="C63" s="39"/>
      <c r="D63" s="40"/>
      <c r="E63" s="69"/>
      <c r="F63" s="27"/>
      <c r="G63" s="41"/>
    </row>
    <row r="64" spans="1:7" ht="12.75">
      <c r="A64" s="28"/>
      <c r="B64" s="29"/>
      <c r="C64" s="39"/>
      <c r="D64" s="40"/>
      <c r="E64" s="69"/>
      <c r="F64" s="27"/>
      <c r="G64" s="41"/>
    </row>
    <row r="65" spans="1:7" ht="33.75">
      <c r="A65" s="28">
        <v>6</v>
      </c>
      <c r="B65" s="5" t="s">
        <v>88</v>
      </c>
      <c r="C65" s="42" t="s">
        <v>36</v>
      </c>
      <c r="D65" s="43"/>
      <c r="E65" s="30"/>
      <c r="F65" s="27"/>
      <c r="G65" s="41"/>
    </row>
    <row r="66" spans="1:7" ht="12.75">
      <c r="A66" s="28"/>
      <c r="B66" s="11" t="s">
        <v>89</v>
      </c>
      <c r="C66" s="39"/>
      <c r="D66" s="40"/>
      <c r="E66" s="27"/>
      <c r="F66" s="27"/>
      <c r="G66" s="41"/>
    </row>
    <row r="67" spans="1:7" ht="12.75">
      <c r="A67" s="25"/>
      <c r="B67" s="76" t="s">
        <v>90</v>
      </c>
      <c r="C67" s="70">
        <f>1.93*1.96*1.3*3</f>
        <v>14.752920000000001</v>
      </c>
      <c r="D67" s="40"/>
      <c r="E67" s="27"/>
      <c r="F67" s="27"/>
      <c r="G67" s="41"/>
    </row>
    <row r="68" spans="1:7" ht="12.75">
      <c r="A68" s="25"/>
      <c r="B68" s="67" t="s">
        <v>91</v>
      </c>
      <c r="C68" s="75">
        <f>C67</f>
        <v>14.752920000000001</v>
      </c>
      <c r="D68" s="40"/>
      <c r="E68" s="27"/>
      <c r="F68" s="27"/>
      <c r="G68" s="41"/>
    </row>
    <row r="69" spans="1:7" ht="12.75">
      <c r="A69" s="25"/>
      <c r="B69" s="63"/>
      <c r="C69" s="39"/>
      <c r="D69" s="40"/>
      <c r="E69" s="27"/>
      <c r="F69" s="27"/>
      <c r="G69" s="41"/>
    </row>
    <row r="70" spans="1:7" ht="12.75">
      <c r="A70" s="25"/>
      <c r="B70" s="63"/>
      <c r="C70" s="39" t="s">
        <v>92</v>
      </c>
      <c r="D70" s="40"/>
      <c r="E70" s="27"/>
      <c r="F70" s="27"/>
      <c r="G70" s="41"/>
    </row>
    <row r="71" spans="1:7" ht="12.75">
      <c r="A71" s="25"/>
      <c r="B71" s="77" t="s">
        <v>93</v>
      </c>
      <c r="C71" s="78">
        <f>C5+C43+C68</f>
        <v>180.03791999999996</v>
      </c>
      <c r="D71" s="40"/>
      <c r="E71" s="27"/>
      <c r="F71" s="27"/>
      <c r="G71" s="41"/>
    </row>
    <row r="72" spans="1:7" ht="12.75">
      <c r="A72" s="25"/>
      <c r="B72" s="77" t="s">
        <v>94</v>
      </c>
      <c r="C72" s="78">
        <f>D44+C50+C56+C62</f>
        <v>70.82516000000001</v>
      </c>
      <c r="D72" s="40"/>
      <c r="E72" s="27"/>
      <c r="F72" s="27"/>
      <c r="G72" s="41"/>
    </row>
    <row r="73" spans="1:7" ht="12.75">
      <c r="A73" s="25"/>
      <c r="B73" s="79" t="s">
        <v>95</v>
      </c>
      <c r="C73" s="80">
        <f>C71-C72</f>
        <v>109.21275999999995</v>
      </c>
      <c r="D73" s="40"/>
      <c r="E73" s="27"/>
      <c r="F73" s="27"/>
      <c r="G73" s="41"/>
    </row>
    <row r="74" spans="1:7" ht="12.75">
      <c r="A74" s="25"/>
      <c r="B74" s="63"/>
      <c r="C74" s="39"/>
      <c r="D74" s="40"/>
      <c r="E74" s="27"/>
      <c r="F74" s="27"/>
      <c r="G74" s="41"/>
    </row>
    <row r="75" spans="1:7" ht="12.75">
      <c r="A75" s="25"/>
      <c r="B75" s="63"/>
      <c r="C75" s="39"/>
      <c r="D75" s="40"/>
      <c r="E75" s="27"/>
      <c r="F75" s="27"/>
      <c r="G75" s="41"/>
    </row>
    <row r="76" spans="1:7" ht="12.75">
      <c r="A76" s="25"/>
      <c r="B76" s="63"/>
      <c r="C76" s="39"/>
      <c r="D76" s="40"/>
      <c r="E76" s="27"/>
      <c r="F76" s="27"/>
      <c r="G76" s="41"/>
    </row>
    <row r="77" spans="1:7" ht="12.75">
      <c r="A77" s="25"/>
      <c r="B77" s="63"/>
      <c r="C77" s="39"/>
      <c r="D77" s="40"/>
      <c r="E77" s="27"/>
      <c r="F77" s="27"/>
      <c r="G77" s="41"/>
    </row>
    <row r="78" spans="1:7" ht="12.75">
      <c r="A78" s="25"/>
      <c r="B78" s="63"/>
      <c r="C78" s="39"/>
      <c r="D78" s="40"/>
      <c r="E78" s="27"/>
      <c r="F78" s="27"/>
      <c r="G78" s="41"/>
    </row>
    <row r="79" spans="1:7" ht="12.75">
      <c r="A79" s="25"/>
      <c r="B79" s="63"/>
      <c r="C79" s="39"/>
      <c r="D79" s="40"/>
      <c r="E79" s="27"/>
      <c r="F79" s="27"/>
      <c r="G79" s="41"/>
    </row>
    <row r="80" spans="1:7" ht="12.75">
      <c r="A80" s="25"/>
      <c r="B80" s="63"/>
      <c r="C80" s="39"/>
      <c r="D80" s="40"/>
      <c r="E80" s="27"/>
      <c r="F80" s="27"/>
      <c r="G80" s="41"/>
    </row>
    <row r="81" spans="1:7" ht="12.75">
      <c r="A81" s="25"/>
      <c r="B81" s="63"/>
      <c r="C81" s="39"/>
      <c r="D81" s="40"/>
      <c r="E81" s="27"/>
      <c r="F81" s="27"/>
      <c r="G81" s="41"/>
    </row>
    <row r="82" spans="1:7" ht="12.75">
      <c r="A82" s="25"/>
      <c r="B82" s="63"/>
      <c r="C82" s="39"/>
      <c r="D82" s="40"/>
      <c r="E82" s="27"/>
      <c r="F82" s="27"/>
      <c r="G82" s="41"/>
    </row>
    <row r="83" spans="1:7" ht="12.75">
      <c r="A83" s="25"/>
      <c r="B83" s="63"/>
      <c r="C83" s="39"/>
      <c r="D83" s="40"/>
      <c r="E83" s="27"/>
      <c r="F83" s="27"/>
      <c r="G83" s="41"/>
    </row>
    <row r="84" spans="1:7" ht="12.75">
      <c r="A84" s="25"/>
      <c r="B84" s="63"/>
      <c r="C84" s="39"/>
      <c r="D84" s="40"/>
      <c r="E84" s="27"/>
      <c r="F84" s="27"/>
      <c r="G84" s="41"/>
    </row>
  </sheetData>
  <sheetProtection password="9CF8" sheet="1" objects="1" scenarios="1" selectLockedCells="1" selectUnlockedCells="1"/>
  <printOptions/>
  <pageMargins left="0.7875" right="0.7875" top="1.011111111111111" bottom="1.136111111111111" header="0.7875" footer="0.7875"/>
  <pageSetup horizontalDpi="300" verticalDpi="300" orientation="portrait" paperSize="9" r:id="rId1"/>
  <headerFooter alignWithMargins="0">
    <oddHeader>&amp;R&amp;"Tahoma,obyčejné"&amp;9 Výkaz výměr</oddHeader>
    <oddFooter>&amp;C&amp;"Tahoma,obyčejné"&amp;9 &amp;P&amp;R&amp;"Tahoma,obyčejné"&amp;9II.etapa rekonstrukce stromořadí Janáčkovo nábřeží
Jednostupňový projekt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2014-09-25T06:04:04Z</dcterms:modified>
  <cp:category/>
  <cp:version/>
  <cp:contentType/>
  <cp:contentStatus/>
</cp:coreProperties>
</file>